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miker\Desktop\"/>
    </mc:Choice>
  </mc:AlternateContent>
  <bookViews>
    <workbookView xWindow="0" yWindow="0" windowWidth="28800" windowHeight="11724" tabRatio="678"/>
  </bookViews>
  <sheets>
    <sheet name="Inputs Page" sheetId="2" r:id="rId1"/>
    <sheet name="Media Server Quick Quote" sheetId="15" r:id="rId2"/>
    <sheet name="AV Impact" sheetId="9" state="hidden" r:id="rId3"/>
    <sheet name="Worksheet" sheetId="1" r:id="rId4"/>
    <sheet name="Change Log" sheetId="3" r:id="rId5"/>
  </sheets>
  <definedNames>
    <definedName name="Rev_1Apr2014">'Media Server Quick Quote'!$C$3</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A1" i="15" l="1"/>
  <c r="A1" i="2"/>
  <c r="B2" i="1" l="1"/>
  <c r="E2" i="1" s="1"/>
  <c r="B3" i="1"/>
  <c r="E3" i="1" s="1"/>
  <c r="B4" i="1"/>
  <c r="B6" i="1"/>
  <c r="B7" i="1"/>
  <c r="B57" i="1"/>
  <c r="B58" i="1" s="1"/>
  <c r="B10" i="1"/>
  <c r="E10" i="1" s="1"/>
  <c r="B11" i="1"/>
  <c r="D11" i="1" s="1"/>
  <c r="B13" i="1"/>
  <c r="C30" i="1" s="1"/>
  <c r="B22" i="1"/>
  <c r="B21" i="1"/>
  <c r="B30" i="1"/>
  <c r="B20" i="1"/>
  <c r="B19" i="1"/>
  <c r="B31" i="1"/>
  <c r="B14" i="1"/>
  <c r="E14" i="1" s="1"/>
  <c r="B16" i="1"/>
  <c r="E16" i="1"/>
  <c r="B17" i="1"/>
  <c r="E17" i="1" s="1"/>
  <c r="B47" i="1"/>
  <c r="B9" i="1"/>
  <c r="B48" i="1" s="1"/>
  <c r="B12" i="1"/>
  <c r="C36" i="1"/>
  <c r="C44" i="1" s="1"/>
  <c r="C37" i="1"/>
  <c r="B26" i="1"/>
  <c r="B18" i="1"/>
  <c r="D20" i="15"/>
  <c r="F20" i="15" s="1"/>
  <c r="B65" i="1"/>
  <c r="B66" i="1"/>
  <c r="B67" i="1"/>
  <c r="D21" i="15"/>
  <c r="F21" i="15" s="1"/>
  <c r="B22" i="15"/>
  <c r="G22" i="15" s="1"/>
  <c r="D22" i="15"/>
  <c r="F22" i="15" s="1"/>
  <c r="D13" i="15"/>
  <c r="F13" i="15"/>
  <c r="D14" i="15"/>
  <c r="F14" i="15" s="1"/>
  <c r="B8" i="1"/>
  <c r="D15" i="15"/>
  <c r="F15" i="15"/>
  <c r="D8" i="15"/>
  <c r="F8" i="15" s="1"/>
  <c r="D7" i="15"/>
  <c r="J22" i="15"/>
  <c r="F7" i="15"/>
  <c r="D6" i="15"/>
  <c r="F6" i="15" s="1"/>
  <c r="C11" i="9"/>
  <c r="C10" i="9"/>
  <c r="H10" i="9"/>
  <c r="H11" i="9"/>
  <c r="J11" i="9"/>
  <c r="J10" i="9"/>
  <c r="B15" i="1"/>
  <c r="B68" i="1"/>
  <c r="D10" i="2"/>
  <c r="B21" i="15" s="1"/>
  <c r="B49" i="1" l="1"/>
  <c r="E11" i="1"/>
  <c r="D18" i="1"/>
  <c r="G21" i="15"/>
  <c r="J21" i="15"/>
  <c r="B51" i="1"/>
  <c r="B52" i="1" s="1"/>
  <c r="B5" i="1"/>
  <c r="B7" i="15"/>
  <c r="D19" i="1"/>
  <c r="E19" i="1" s="1"/>
  <c r="F19" i="1" s="1"/>
  <c r="B60" i="1"/>
  <c r="B14" i="15"/>
  <c r="D21" i="1"/>
  <c r="E21" i="1" s="1"/>
  <c r="D20" i="1"/>
  <c r="E20" i="1" s="1"/>
  <c r="D22" i="1"/>
  <c r="E22" i="1" s="1"/>
  <c r="F22" i="1" s="1"/>
  <c r="C31" i="1"/>
  <c r="C32" i="1" s="1"/>
  <c r="C33" i="1" s="1"/>
  <c r="E13" i="1" s="1"/>
  <c r="B59" i="1"/>
  <c r="B61" i="1" s="1"/>
  <c r="B62" i="1" s="1"/>
  <c r="C5" i="1" s="1"/>
  <c r="G22" i="1" l="1"/>
  <c r="E5" i="1"/>
  <c r="B53" i="1"/>
  <c r="C53" i="1" s="1"/>
  <c r="E23" i="1" s="1"/>
  <c r="E25" i="1" s="1"/>
  <c r="B54" i="1"/>
  <c r="C54" i="1" s="1"/>
  <c r="E24" i="1" s="1"/>
  <c r="C38" i="1"/>
  <c r="C39" i="1"/>
  <c r="F21" i="1"/>
  <c r="D7" i="2"/>
  <c r="J7" i="15"/>
  <c r="G7" i="15"/>
  <c r="J14" i="15"/>
  <c r="G14" i="15"/>
  <c r="D26" i="1" l="1"/>
  <c r="E26" i="1" s="1"/>
  <c r="E27" i="1" s="1"/>
  <c r="B8" i="15"/>
  <c r="B15" i="15"/>
  <c r="C43" i="1"/>
  <c r="C42" i="1"/>
  <c r="C40" i="1"/>
  <c r="C41" i="1"/>
  <c r="D4" i="2" l="1"/>
  <c r="C45" i="15"/>
  <c r="B13" i="15" s="1"/>
  <c r="C46" i="15"/>
  <c r="B20" i="15" s="1"/>
  <c r="C44" i="15"/>
  <c r="B6" i="15" s="1"/>
  <c r="G15" i="15"/>
  <c r="J15" i="15"/>
  <c r="J8" i="15"/>
  <c r="G8" i="15"/>
  <c r="J6" i="15" l="1"/>
  <c r="G6" i="15"/>
  <c r="J9" i="15" s="1"/>
  <c r="J13" i="15"/>
  <c r="G13" i="15"/>
  <c r="J16" i="15" s="1"/>
  <c r="J20" i="15"/>
  <c r="G20" i="15"/>
  <c r="J23" i="15" s="1"/>
</calcChain>
</file>

<file path=xl/sharedStrings.xml><?xml version="1.0" encoding="utf-8"?>
<sst xmlns="http://schemas.openxmlformats.org/spreadsheetml/2006/main" count="264" uniqueCount="209">
  <si>
    <t>agents</t>
  </si>
  <si>
    <t>supervisors</t>
  </si>
  <si>
    <t>transcode stations</t>
  </si>
  <si>
    <t>conference</t>
  </si>
  <si>
    <t>fax</t>
  </si>
  <si>
    <t>paging</t>
  </si>
  <si>
    <t>Date:</t>
  </si>
  <si>
    <t>Customer:</t>
  </si>
  <si>
    <t>Input by:</t>
  </si>
  <si>
    <t>Description:</t>
  </si>
  <si>
    <t>Business Users</t>
  </si>
  <si>
    <t>Special Design Considerations:</t>
  </si>
  <si>
    <t>Sessions</t>
  </si>
  <si>
    <t>Number of Fax Sessions</t>
  </si>
  <si>
    <t>Client and Stations</t>
  </si>
  <si>
    <t>Standalone/Basic Stations</t>
  </si>
  <si>
    <t>CC2 Seats</t>
  </si>
  <si>
    <t>CC1 Seats</t>
  </si>
  <si>
    <t>CC3 Seats</t>
  </si>
  <si>
    <t>Other Feature Sets</t>
  </si>
  <si>
    <t>Usage</t>
  </si>
  <si>
    <t>Overage Factor</t>
  </si>
  <si>
    <t>Stations in Largest Paging Zone</t>
  </si>
  <si>
    <t>Percent of Agents on the Phone</t>
  </si>
  <si>
    <t>Percent of Business Users and Standalone In Use</t>
  </si>
  <si>
    <t>transcode sessions</t>
  </si>
  <si>
    <t>Points</t>
  </si>
  <si>
    <t>Amount</t>
  </si>
  <si>
    <t>business users/standalone</t>
  </si>
  <si>
    <t>subtotal</t>
  </si>
  <si>
    <t>Number of Points</t>
  </si>
  <si>
    <t>G.729 Licenses</t>
  </si>
  <si>
    <t>Media Server Estimation</t>
  </si>
  <si>
    <t>By</t>
  </si>
  <si>
    <t>Yes</t>
  </si>
  <si>
    <t>Customer to use Media Server Appliance Models?</t>
  </si>
  <si>
    <t>Dialer Only seats (in place of CCx license)</t>
  </si>
  <si>
    <t>Points for transcoding recordings</t>
  </si>
  <si>
    <t>Points for transcribing recordings</t>
  </si>
  <si>
    <t>Sessions in IVR/MOH/etc.</t>
  </si>
  <si>
    <t>Standalone/BU usage</t>
  </si>
  <si>
    <t>Agent Usage</t>
  </si>
  <si>
    <t>Total Sessions</t>
  </si>
  <si>
    <t>Points from Session Transcoding</t>
  </si>
  <si>
    <t>Points from Session Transryption</t>
  </si>
  <si>
    <t>transcode sessions in IVR</t>
  </si>
  <si>
    <t>transcribe sessions in IVR</t>
  </si>
  <si>
    <t>total points added by recording</t>
  </si>
  <si>
    <t>analytics sessions</t>
  </si>
  <si>
    <t># of keywords</t>
  </si>
  <si>
    <t>more than 100</t>
  </si>
  <si>
    <t>Points for keywords</t>
  </si>
  <si>
    <t>Analyzer Pronunciations Total for Agent</t>
  </si>
  <si>
    <t>Analyzer Pronunciations Total for Caller</t>
  </si>
  <si>
    <t>pronunciations per agent</t>
  </si>
  <si>
    <t>pronunciations per caller</t>
  </si>
  <si>
    <t>Number of Advanced Sessions (for licensing purposes)</t>
  </si>
  <si>
    <t>Number of Dialer Sessions (for licensing purposes)</t>
  </si>
  <si>
    <t>Total Points</t>
  </si>
  <si>
    <t>checked  is analytics more than sessions</t>
  </si>
  <si>
    <t>checked if points greater than sessions</t>
  </si>
  <si>
    <t>Users Licensed to Record Calls</t>
  </si>
  <si>
    <t>Users Licensed to Record Screens</t>
  </si>
  <si>
    <t>Percentage of Stations Encryption Usage</t>
  </si>
  <si>
    <t>Percentage of Session Encryption Usage</t>
  </si>
  <si>
    <t>transcription sessions</t>
  </si>
  <si>
    <t>transcription stations</t>
  </si>
  <si>
    <t>Percent of Sessions Utilizing Transcoding (other than g.711 codec)</t>
  </si>
  <si>
    <t>Percent of Users Utilizing Transcoding (other than g.711 codec)</t>
  </si>
  <si>
    <t xml:space="preserve">** The utilization of virus scanning software on a media server can impact scalability. </t>
  </si>
  <si>
    <t>Medium Appliance</t>
  </si>
  <si>
    <t>Large Appliance</t>
  </si>
  <si>
    <t>this is the number of sessions less users rated by percentage of encryption usage</t>
  </si>
  <si>
    <t>Number of Media Servers</t>
  </si>
  <si>
    <t>Number of Basic Sessions (each session will receive a point)</t>
  </si>
  <si>
    <t>&lt;50</t>
  </si>
  <si>
    <t>50 to 100</t>
  </si>
  <si>
    <t>Number of Conference Sessions (max parties in one conference = 20)</t>
  </si>
  <si>
    <t>Supervisors (this will add points for monitor, coach, and join sessions)</t>
  </si>
  <si>
    <t>Dialer Addons (for licensing purposes)</t>
  </si>
  <si>
    <t>fax does not count on top of basic session point</t>
  </si>
  <si>
    <t>recording sessions affected by g.729&amp;tls/srtp</t>
  </si>
  <si>
    <t>Analyzer Sessions (typically less than or equal to users recorded when used)</t>
  </si>
  <si>
    <t>Tasheer Syed</t>
  </si>
  <si>
    <t>Part number</t>
  </si>
  <si>
    <t>% impact</t>
  </si>
  <si>
    <t>Baseline</t>
  </si>
  <si>
    <t xml:space="preserve">With McAfee
VSE 8.8 </t>
  </si>
  <si>
    <t>Platform</t>
  </si>
  <si>
    <t>Interaction Edge Media Server Appliance</t>
  </si>
  <si>
    <t>Not Applicable</t>
  </si>
  <si>
    <t>SY-014-4.0-IEXX (XX=00,01,02)</t>
  </si>
  <si>
    <t>Unit Price</t>
  </si>
  <si>
    <t>Subtotal</t>
  </si>
  <si>
    <t>Extended Price</t>
  </si>
  <si>
    <t>Total Cost &lt;Local currency&gt;</t>
  </si>
  <si>
    <t>Unit Price &lt;Local Currency&gt;</t>
  </si>
  <si>
    <t xml:space="preserve">Initial version for G7 hardware(S,M,L) with new points of 80 ppme and new pricing.  Interaction edge MS appliance at 75 ppme.  All pricing effective Jul1, 2012 (Q3-2012). 
To enter component pricing local to your region. </t>
  </si>
  <si>
    <t>Change Description</t>
  </si>
  <si>
    <t>Date</t>
  </si>
  <si>
    <t>Revison</t>
  </si>
  <si>
    <t>Rev:15Jun2012</t>
  </si>
  <si>
    <t>Rev:26Jun2012</t>
  </si>
  <si>
    <t>Changed Large MS equipped to 4.  Earlier had an incorrect value of 6.</t>
  </si>
  <si>
    <t xml:space="preserve">40 points per media engine; Small(Equipped=1, Max2), Medium(Equipped=2, Max=8),Large(Equipped 6= ,Max=16); New logic/formula for N+1 . Interaction edge at 37 ppme. Removed summary of engines/media server. </t>
  </si>
  <si>
    <t>Rev:9Aug2012</t>
  </si>
  <si>
    <t>Medium Appliance (G8 DL-360)</t>
  </si>
  <si>
    <t>Large Appliance (G8 DL-360)</t>
  </si>
  <si>
    <t>Rename "Summary" tab to "AV Impact"; changed verbiage to "solutions engineer"; Including Gen8's Medium(Equipped=2, Max12) and Large (Equipped=6, Max24). Based on Jan 2, 2013 price sheet.</t>
  </si>
  <si>
    <t>US 3 yr pricing</t>
  </si>
  <si>
    <t>Rev:8Jan2013</t>
  </si>
  <si>
    <t>Medium (Max ME)</t>
  </si>
  <si>
    <t>Large (Max ME)</t>
  </si>
  <si>
    <t>IVR Sessions using Proactive Recording</t>
  </si>
  <si>
    <t>1. Included IVR sessions with proactive recordings, 2. "G8 Media Server Quick Quote" tab, added option to Maximize ME/Server (default Medium:12, Large:24) or Maximize Scalability and make configurations more affordable.</t>
  </si>
  <si>
    <t>Rev:5Feb2013</t>
  </si>
  <si>
    <t>TH-502-SVDLSMMS</t>
  </si>
  <si>
    <t xml:space="preserve">Global Cross Border Care Pack (S) (G7 DL-120) 3 Years </t>
  </si>
  <si>
    <t xml:space="preserve">Based on latest Apr price sheet, changed G7(S) model number and G7(S) 3 year care pack; added G8(M,L) 3 year care pack.  Replaced pricing for G7(M,L) to N/A and added a note "Reference for customers who already have it" and removed any pricing on G7(M,L).  Added text in G7 Media Server Quick Quote, "Gen7 Media Servers are no longer available for new purchase.  This page is to assist in sizing existing configurations." </t>
  </si>
  <si>
    <t>Rev:5Apr2013</t>
  </si>
  <si>
    <t>NOT SUPPORTED</t>
  </si>
  <si>
    <t>** McAfee is known to cause slight disruptions in the audio quality.  The disruptions happen at random times during the day (roughly every few hours) and may results in a small number of short pops during a call.</t>
  </si>
  <si>
    <t>40**</t>
  </si>
  <si>
    <t>0.00%**</t>
  </si>
  <si>
    <t xml:space="preserve">Inputs page, entered April 2013 price sheet; AV Impact page, entered data for G8 AV impact. </t>
  </si>
  <si>
    <t xml:space="preserve">Please enter the unit price based off the regional price sheet (local to your region). </t>
  </si>
  <si>
    <t>Tested with s/w: 4.0 SU4</t>
  </si>
  <si>
    <t>With McAfee
Solidifier 6.0 (McAfee Embedded Control)</t>
  </si>
  <si>
    <t>Rev:17Apr2013</t>
  </si>
  <si>
    <t xml:space="preserve">Overage Factor (transfers, call wtg, whisper, smile, etc) and Dist. Conf. </t>
  </si>
  <si>
    <t>Media Session Calculations</t>
  </si>
  <si>
    <t>Basic Sessions</t>
  </si>
  <si>
    <t>Conference Sessions</t>
  </si>
  <si>
    <t>Fax Sessions</t>
  </si>
  <si>
    <t>Number of Media Sessions</t>
  </si>
  <si>
    <t>Media Sessions</t>
  </si>
  <si>
    <t>Calculated Number of Media Servers in an N+1 Design - This is a required consideration.</t>
  </si>
  <si>
    <t>Media Session</t>
  </si>
  <si>
    <t>Number of G.729 Sessions</t>
  </si>
  <si>
    <t>G.729 Sessions</t>
  </si>
  <si>
    <t>G.729 Session</t>
  </si>
  <si>
    <t>Rated On The Phone Usage</t>
  </si>
  <si>
    <t>recorded users</t>
  </si>
  <si>
    <t>this is the number of sessions less users rated by percentage of codec usage with a +5% for IVR with compression</t>
  </si>
  <si>
    <t>adds an extra 5% for calls sitting in IVR using a compressed codec.</t>
  </si>
  <si>
    <t>adds an extra 25% for recording with a compressed codec</t>
  </si>
  <si>
    <t>balance of sessions not being recorded</t>
  </si>
  <si>
    <t>session transcoding overage</t>
  </si>
  <si>
    <t>station transcryption overage</t>
  </si>
  <si>
    <t>station transcoding overage</t>
  </si>
  <si>
    <t>session transcryption overage</t>
  </si>
  <si>
    <t>sum at 25% per</t>
  </si>
  <si>
    <t>check for media server passthrough</t>
  </si>
  <si>
    <t>transcryption sum</t>
  </si>
  <si>
    <t>transcoding sum</t>
  </si>
  <si>
    <t>Rev:18Nov2013</t>
  </si>
  <si>
    <t>Mike Rice
Tasheer Syed</t>
  </si>
  <si>
    <t>Update to refine calculations based on new testing numbers.</t>
  </si>
  <si>
    <t>Required item Count (N+1)</t>
  </si>
  <si>
    <t>Total points</t>
  </si>
  <si>
    <t xml:space="preserve">Medium Appliance </t>
  </si>
  <si>
    <t>Item Base Count (N)</t>
  </si>
  <si>
    <t>SW-001-4.0-PL09</t>
  </si>
  <si>
    <t>SW-014-4.0-AC03</t>
  </si>
  <si>
    <t>Rev:20Dec2013</t>
  </si>
  <si>
    <t>Rev:9Jan2014</t>
  </si>
  <si>
    <t>Changes made to comply with Q1-2014 changes.</t>
  </si>
  <si>
    <t>Update based on new inputs from testing.</t>
  </si>
  <si>
    <t>Rev:1Apr2014</t>
  </si>
  <si>
    <t>With Symantec 
EP 12.1.2/ 12.1.3</t>
  </si>
  <si>
    <t>(240, 120, 120)</t>
  </si>
  <si>
    <t>Updated new numbers from test on I.Edge 0 Span = 240 points; (extrapolated for 1Span and 2 Span = 120 points); Added Symantec ver 12.1.3 on the table</t>
  </si>
  <si>
    <t>Please note that installation and configuration details are provided for each package on testlab and must be followed expicitly in order to achieve the above results.</t>
  </si>
  <si>
    <t xml:space="preserve">Some customers choose to run anti-virus products on the media server.  This can cause scalability issues even with active scanning disabled.  We regularly test Symantec and McAfee.  Each release or patch of an AV package has to be retested as they will typically introduce new challenges to scalability and call quality.  </t>
  </si>
  <si>
    <t>Mike Rice</t>
  </si>
  <si>
    <t>Added functionality 2016 R4</t>
  </si>
  <si>
    <t>Medium Appliance (G9 DL-360)</t>
  </si>
  <si>
    <t>Large Appliance (G9 DL-360)</t>
  </si>
  <si>
    <t>SY-014-4.0-MSAS9-3NBD</t>
  </si>
  <si>
    <t>Small Appliance (G9 DL-60)</t>
  </si>
  <si>
    <t>Small Appliance</t>
  </si>
  <si>
    <t>G9 Small Appliance Summary</t>
  </si>
  <si>
    <t>G9 Large Appliance Summary</t>
  </si>
  <si>
    <t>G9 Medium Appliance Summary</t>
  </si>
  <si>
    <t>Gen 9 Base Requirement</t>
  </si>
  <si>
    <t>Update to consider increased media server utilization due to Analyzer program changes and to add support for small media servers and remove Edge.</t>
  </si>
  <si>
    <t>Rev:6Sep2016</t>
  </si>
  <si>
    <t>Recording affected by Stereo or Opus mono codec</t>
  </si>
  <si>
    <t>Added option to use the Stereo recording and the Opus mono codec for recording.</t>
  </si>
  <si>
    <t>SY-014-4.0-MSAM9</t>
  </si>
  <si>
    <t>SY-014-4.0-MSAL9</t>
  </si>
  <si>
    <t>GEN 9 MEDIA SERVERS</t>
  </si>
  <si>
    <t>Rev:2Nov2016</t>
  </si>
  <si>
    <t>fixed a calculation error where trunks are less that users who are licensed to be recorded</t>
  </si>
  <si>
    <t>Speech Recognition/Speech Synthesis Sessions</t>
  </si>
  <si>
    <t>Adam Paugh</t>
  </si>
  <si>
    <t>Rev:26Apr2017</t>
  </si>
  <si>
    <t>Rev:2Mar2018</t>
  </si>
  <si>
    <t>Updated points per Speech Recognition/Speech Synthesis Sessions (ISR/ITTS) Session from 1 to 1.5 for increased ITTS utilization</t>
  </si>
  <si>
    <t xml:space="preserve">  Will Recorder use the Opus mono or stereo codec?  </t>
  </si>
  <si>
    <t xml:space="preserve">Genesys sizing tools are for technical information and sizing purposes only. </t>
  </si>
  <si>
    <t>This tool typically assumes that the product will utilize the latest platform release available.</t>
  </si>
  <si>
    <t xml:space="preserve">Genesys will make every effort to ensure accuracy in projected results.  </t>
  </si>
  <si>
    <t xml:space="preserve">It is highly recommended that you contact a Genesys Solutions Consultant prior to customer proposal. </t>
  </si>
  <si>
    <t>Any concerns or questions regarding inputs to this tool as well as any projected results should be discussed</t>
  </si>
  <si>
    <t>and verified with a Genesys Solutions Consultant prior to final quoting.</t>
  </si>
  <si>
    <t>Genesys will not be held liable for any loss regarding the use of this configuration tool.</t>
  </si>
  <si>
    <t>** Please contact your Solutions Consultant to discuss implications imposed by these products.</t>
  </si>
  <si>
    <t>Speech Recognition/Speech Synthesis Sessions (ISR/ITTS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</si>
</sst>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d\-mmm\-yyyy;@"/>
  </numFmts>
  <fonts count="24">
    <font>
      <sz val="11"/>
      <color theme="1"/>
      <name val="Calibri"/>
      <family val="2"/>
      <scheme val="minor"/>
    </font>
    <font>
      <sz val="14"/>
      <color theme="1"/>
      <name val="Calibri"/>
      <family val="2"/>
      <scheme val="minor"/>
    </font>
    <font>
      <u/>
      <sz val="10"/>
      <color indexed="12"/>
      <name val="Arial"/>
      <family val="2"/>
    </font>
    <font>
      <b/>
      <sz val="14"/>
      <name val="Calibri"/>
      <family val="2"/>
      <scheme val="minor"/>
    </font>
    <font>
      <b/>
      <sz val="14"/>
      <color indexed="10"/>
      <name val="Calibri"/>
      <family val="2"/>
      <scheme val="minor"/>
    </font>
    <font>
      <sz val="14"/>
      <name val="Calibri"/>
      <family val="2"/>
      <scheme val="minor"/>
    </font>
    <font>
      <i/>
      <sz val="14"/>
      <name val="Calibri"/>
      <family val="2"/>
      <scheme val="minor"/>
    </font>
    <font>
      <b/>
      <sz val="14"/>
      <color rgb="FFFF0000"/>
      <name val="Calibri"/>
      <family val="2"/>
      <scheme val="minor"/>
    </font>
    <font>
      <b/>
      <sz val="11"/>
      <color theme="1"/>
      <name val="Calibri"/>
      <family val="2"/>
      <scheme val="minor"/>
    </font>
    <font>
      <sz val="14"/>
      <color rgb="FFFF0000"/>
      <name val="Calibri"/>
      <family val="2"/>
      <scheme val="minor"/>
    </font>
    <font>
      <b/>
      <sz val="14"/>
      <color theme="1"/>
      <name val="Calibri"/>
      <family val="2"/>
      <scheme val="minor"/>
    </font>
    <font>
      <b/>
      <sz val="16"/>
      <color theme="1"/>
      <name val="Calibri"/>
      <family val="2"/>
      <scheme val="minor"/>
    </font>
    <font>
      <b/>
      <sz val="11"/>
      <name val="Calibri"/>
      <family val="2"/>
      <scheme val="minor"/>
    </font>
    <font>
      <b/>
      <sz val="16"/>
      <color indexed="10"/>
      <name val="Calibri"/>
      <family val="2"/>
      <scheme val="minor"/>
    </font>
    <font>
      <b/>
      <sz val="16"/>
      <color rgb="FFFF0000"/>
      <name val="Calibri"/>
      <family val="2"/>
      <scheme val="minor"/>
    </font>
    <font>
      <sz val="11"/>
      <name val="Calibri"/>
      <family val="2"/>
      <scheme val="minor"/>
    </font>
    <font>
      <b/>
      <sz val="11"/>
      <color rgb="FFFF0000"/>
      <name val="Calibri"/>
      <family val="2"/>
      <scheme val="minor"/>
    </font>
    <font>
      <sz val="10"/>
      <color rgb="FFFF0000"/>
      <name val="Calibri"/>
      <family val="2"/>
      <scheme val="minor"/>
    </font>
    <font>
      <b/>
      <strike/>
      <sz val="11"/>
      <name val="Calibri"/>
      <family val="2"/>
      <scheme val="minor"/>
    </font>
    <font>
      <i/>
      <sz val="11"/>
      <color theme="1"/>
      <name val="Calibri"/>
      <family val="2"/>
      <scheme val="minor"/>
    </font>
    <font>
      <sz val="11"/>
      <color rgb="FFFF0000"/>
      <name val="Calibri"/>
      <family val="2"/>
      <scheme val="minor"/>
    </font>
    <font>
      <sz val="16"/>
      <color rgb="FF000000"/>
      <name val="Calibri"/>
      <family val="2"/>
      <scheme val="minor"/>
    </font>
    <font>
      <b/>
      <sz val="14"/>
      <color rgb="FFFF0000"/>
      <name val="Calibri (Body)"/>
    </font>
    <font>
      <b/>
      <sz val="12"/>
      <color rgb="FFFF0000"/>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131">
    <xf numFmtId="0" fontId="0" fillId="0" borderId="0" xfId="0"/>
    <xf numFmtId="0" fontId="1" fillId="0" borderId="0" xfId="0" applyFont="1"/>
    <xf numFmtId="0" fontId="3" fillId="0" borderId="0" xfId="0" applyFont="1" applyAlignment="1">
      <alignment horizontal="center"/>
    </xf>
    <xf numFmtId="0" fontId="3" fillId="0" borderId="0" xfId="0" applyFont="1"/>
    <xf numFmtId="0" fontId="4" fillId="0" borderId="0" xfId="0" applyFont="1" applyAlignment="1" applyProtection="1">
      <alignment horizontal="center"/>
      <protection locked="0"/>
    </xf>
    <xf numFmtId="0" fontId="4" fillId="0" borderId="0" xfId="0" applyFont="1"/>
    <xf numFmtId="0" fontId="5" fillId="0" borderId="0" xfId="0" applyFont="1"/>
    <xf numFmtId="0" fontId="5" fillId="0" borderId="2" xfId="0" applyFont="1" applyFill="1" applyBorder="1"/>
    <xf numFmtId="0" fontId="3" fillId="0" borderId="2" xfId="0" applyFont="1" applyBorder="1" applyAlignment="1">
      <alignment wrapText="1"/>
    </xf>
    <xf numFmtId="0" fontId="1" fillId="0" borderId="0" xfId="0" applyFont="1" applyBorder="1"/>
    <xf numFmtId="0" fontId="5" fillId="0" borderId="1" xfId="0" applyFont="1" applyBorder="1" applyAlignment="1">
      <alignment wrapText="1"/>
    </xf>
    <xf numFmtId="0" fontId="5" fillId="0" borderId="0" xfId="0" applyFont="1" applyBorder="1"/>
    <xf numFmtId="0" fontId="5" fillId="0" borderId="0" xfId="0" applyFont="1" applyProtection="1">
      <protection locked="0"/>
    </xf>
    <xf numFmtId="0" fontId="5" fillId="0" borderId="1" xfId="0" applyFont="1" applyBorder="1"/>
    <xf numFmtId="0" fontId="5" fillId="0" borderId="0" xfId="0" applyFont="1" applyFill="1" applyBorder="1" applyProtection="1">
      <protection locked="0"/>
    </xf>
    <xf numFmtId="0" fontId="5" fillId="0" borderId="2" xfId="0" applyFont="1" applyFill="1" applyBorder="1" applyProtection="1">
      <protection locked="0"/>
    </xf>
    <xf numFmtId="0" fontId="3" fillId="0" borderId="2" xfId="0" applyFont="1" applyBorder="1"/>
    <xf numFmtId="0" fontId="5" fillId="0" borderId="4" xfId="0" applyFont="1" applyFill="1" applyBorder="1" applyProtection="1">
      <protection locked="0"/>
    </xf>
    <xf numFmtId="0" fontId="5" fillId="0" borderId="4" xfId="0" applyFont="1" applyBorder="1"/>
    <xf numFmtId="0" fontId="6" fillId="0" borderId="0" xfId="0" applyFont="1" applyBorder="1" applyAlignment="1">
      <alignment wrapText="1"/>
    </xf>
    <xf numFmtId="0" fontId="3" fillId="0" borderId="0" xfId="0" applyFont="1" applyFill="1" applyBorder="1" applyAlignment="1">
      <alignment wrapText="1"/>
    </xf>
    <xf numFmtId="0" fontId="1" fillId="0" borderId="0" xfId="0" applyFont="1" applyBorder="1" applyProtection="1">
      <protection locked="0"/>
    </xf>
    <xf numFmtId="0" fontId="1" fillId="2" borderId="1" xfId="0" applyFont="1" applyFill="1" applyBorder="1" applyAlignment="1" applyProtection="1">
      <alignment horizontal="left"/>
      <protection locked="0"/>
    </xf>
    <xf numFmtId="0" fontId="5" fillId="2" borderId="1" xfId="0" applyFont="1" applyFill="1" applyBorder="1" applyProtection="1">
      <protection locked="0"/>
    </xf>
    <xf numFmtId="0" fontId="5" fillId="2" borderId="3" xfId="0" applyFont="1" applyFill="1" applyBorder="1" applyProtection="1">
      <protection locked="0"/>
    </xf>
    <xf numFmtId="9" fontId="5" fillId="2" borderId="3" xfId="0" applyNumberFormat="1" applyFont="1" applyFill="1" applyBorder="1" applyProtection="1">
      <protection locked="0"/>
    </xf>
    <xf numFmtId="9" fontId="0" fillId="0" borderId="0" xfId="0" applyNumberFormat="1"/>
    <xf numFmtId="9" fontId="0" fillId="0" borderId="0" xfId="0" applyNumberFormat="1" applyAlignment="1"/>
    <xf numFmtId="1" fontId="0" fillId="0" borderId="0" xfId="0" applyNumberFormat="1"/>
    <xf numFmtId="0" fontId="1" fillId="0" borderId="1" xfId="0" applyFont="1" applyBorder="1"/>
    <xf numFmtId="0" fontId="1" fillId="3" borderId="1" xfId="0" applyFont="1" applyFill="1" applyBorder="1" applyAlignment="1">
      <alignment horizontal="center"/>
    </xf>
    <xf numFmtId="0" fontId="3" fillId="2" borderId="5" xfId="0" applyFont="1" applyFill="1" applyBorder="1" applyProtection="1">
      <protection locked="0"/>
    </xf>
    <xf numFmtId="0" fontId="1" fillId="2" borderId="6" xfId="0" applyFont="1" applyFill="1" applyBorder="1" applyProtection="1">
      <protection locked="0"/>
    </xf>
    <xf numFmtId="0" fontId="1" fillId="2" borderId="7" xfId="0" applyFont="1" applyFill="1" applyBorder="1" applyProtection="1">
      <protection locked="0"/>
    </xf>
    <xf numFmtId="0" fontId="4" fillId="0" borderId="0" xfId="1" applyFont="1" applyAlignment="1" applyProtection="1"/>
    <xf numFmtId="0" fontId="7" fillId="0" borderId="0" xfId="0" applyFont="1"/>
    <xf numFmtId="0" fontId="8" fillId="0" borderId="0" xfId="0" applyFont="1"/>
    <xf numFmtId="9" fontId="5" fillId="2" borderId="3" xfId="0" applyNumberFormat="1" applyFont="1" applyFill="1" applyBorder="1" applyAlignment="1" applyProtection="1">
      <alignment horizontal="right"/>
      <protection locked="0"/>
    </xf>
    <xf numFmtId="10" fontId="0" fillId="0" borderId="0" xfId="0" applyNumberFormat="1"/>
    <xf numFmtId="0" fontId="0" fillId="0" borderId="0" xfId="0" quotePrefix="1"/>
    <xf numFmtId="0" fontId="9" fillId="0" borderId="0" xfId="0" applyFont="1"/>
    <xf numFmtId="0" fontId="1" fillId="0" borderId="0" xfId="0" applyFont="1" applyAlignment="1">
      <alignment horizontal="center"/>
    </xf>
    <xf numFmtId="0" fontId="10" fillId="0" borderId="0" xfId="0" applyFont="1"/>
    <xf numFmtId="0" fontId="1" fillId="0" borderId="0" xfId="0" applyFont="1" applyFill="1" applyBorder="1"/>
    <xf numFmtId="164" fontId="1" fillId="0" borderId="0" xfId="0" applyNumberFormat="1" applyFont="1" applyFill="1" applyBorder="1"/>
    <xf numFmtId="0" fontId="0" fillId="0" borderId="0" xfId="0" applyFill="1"/>
    <xf numFmtId="0" fontId="11" fillId="0" borderId="0" xfId="0" applyFont="1"/>
    <xf numFmtId="0" fontId="13" fillId="0" borderId="0" xfId="0" applyFont="1"/>
    <xf numFmtId="0" fontId="13" fillId="0" borderId="0" xfId="1" applyFont="1" applyAlignment="1" applyProtection="1"/>
    <xf numFmtId="0" fontId="14" fillId="0" borderId="0" xfId="0" applyFont="1"/>
    <xf numFmtId="0" fontId="0" fillId="0" borderId="1" xfId="0" applyBorder="1"/>
    <xf numFmtId="0" fontId="0" fillId="0" borderId="0" xfId="0" applyAlignment="1"/>
    <xf numFmtId="0" fontId="8" fillId="4" borderId="1" xfId="0" applyNumberFormat="1" applyFont="1" applyFill="1" applyBorder="1" applyAlignment="1">
      <alignment horizontal="center" wrapText="1"/>
    </xf>
    <xf numFmtId="0" fontId="0" fillId="4" borderId="9" xfId="0" applyNumberFormat="1" applyFont="1" applyFill="1" applyBorder="1" applyAlignment="1">
      <alignment horizontal="center" wrapText="1"/>
    </xf>
    <xf numFmtId="0" fontId="0" fillId="4" borderId="9" xfId="0" applyNumberFormat="1" applyFont="1" applyFill="1" applyBorder="1" applyAlignment="1">
      <alignment wrapText="1"/>
    </xf>
    <xf numFmtId="0" fontId="0" fillId="5" borderId="1" xfId="0" applyNumberFormat="1" applyFont="1" applyFill="1" applyBorder="1" applyAlignment="1">
      <alignment horizontal="center" wrapText="1"/>
    </xf>
    <xf numFmtId="0" fontId="0" fillId="0" borderId="0" xfId="0" applyAlignment="1">
      <alignment horizontal="left" wrapText="1"/>
    </xf>
    <xf numFmtId="0" fontId="0" fillId="0" borderId="1" xfId="0" applyFont="1" applyBorder="1"/>
    <xf numFmtId="0" fontId="15" fillId="0" borderId="1" xfId="0" applyFont="1" applyBorder="1" applyAlignment="1">
      <alignment wrapText="1"/>
    </xf>
    <xf numFmtId="0" fontId="15" fillId="0" borderId="1" xfId="0" applyFont="1" applyFill="1" applyBorder="1"/>
    <xf numFmtId="2" fontId="1" fillId="0" borderId="0" xfId="0" applyNumberFormat="1" applyFont="1"/>
    <xf numFmtId="2" fontId="1" fillId="0" borderId="0" xfId="0" applyNumberFormat="1" applyFont="1" applyAlignment="1">
      <alignment horizontal="center"/>
    </xf>
    <xf numFmtId="2" fontId="1" fillId="0" borderId="0" xfId="0" applyNumberFormat="1" applyFont="1" applyFill="1" applyBorder="1"/>
    <xf numFmtId="0" fontId="0" fillId="0" borderId="1" xfId="0" applyBorder="1" applyAlignment="1">
      <alignment wrapText="1" readingOrder="1"/>
    </xf>
    <xf numFmtId="165" fontId="1" fillId="2" borderId="1" xfId="0" applyNumberFormat="1" applyFont="1" applyFill="1" applyBorder="1" applyAlignment="1" applyProtection="1">
      <alignment horizontal="left"/>
      <protection locked="0"/>
    </xf>
    <xf numFmtId="165" fontId="17" fillId="0" borderId="0" xfId="0" applyNumberFormat="1" applyFont="1"/>
    <xf numFmtId="165" fontId="17" fillId="0" borderId="0" xfId="0" applyNumberFormat="1" applyFont="1" applyAlignment="1">
      <alignment horizontal="left"/>
    </xf>
    <xf numFmtId="0" fontId="0" fillId="0" borderId="1" xfId="0" applyNumberFormat="1" applyFont="1" applyFill="1" applyBorder="1" applyAlignment="1">
      <alignment horizontal="center" wrapText="1"/>
    </xf>
    <xf numFmtId="0" fontId="0" fillId="0" borderId="0" xfId="0" applyBorder="1"/>
    <xf numFmtId="0" fontId="0" fillId="0" borderId="0" xfId="0" applyBorder="1" applyAlignment="1">
      <alignment wrapText="1"/>
    </xf>
    <xf numFmtId="0" fontId="8" fillId="0" borderId="0" xfId="0" applyFont="1" applyBorder="1" applyAlignment="1">
      <alignment wrapText="1"/>
    </xf>
    <xf numFmtId="0" fontId="8" fillId="0" borderId="1" xfId="0" applyFont="1" applyBorder="1" applyAlignment="1">
      <alignment wrapText="1" readingOrder="1"/>
    </xf>
    <xf numFmtId="165" fontId="0" fillId="0" borderId="1" xfId="0" applyNumberFormat="1" applyBorder="1" applyAlignment="1">
      <alignment wrapText="1" readingOrder="1"/>
    </xf>
    <xf numFmtId="0" fontId="1" fillId="6" borderId="1" xfId="0" applyFont="1" applyFill="1" applyBorder="1"/>
    <xf numFmtId="0" fontId="1" fillId="6" borderId="1" xfId="0" applyFont="1" applyFill="1" applyBorder="1" applyAlignment="1">
      <alignment horizontal="center"/>
    </xf>
    <xf numFmtId="0" fontId="0" fillId="0" borderId="1" xfId="0" applyFont="1" applyFill="1" applyBorder="1"/>
    <xf numFmtId="0" fontId="0" fillId="0" borderId="1" xfId="0" applyBorder="1" applyAlignment="1">
      <alignment wrapText="1"/>
    </xf>
    <xf numFmtId="0" fontId="0" fillId="0" borderId="1" xfId="0" applyBorder="1" applyAlignment="1">
      <alignment horizontal="center" wrapText="1"/>
    </xf>
    <xf numFmtId="0" fontId="0" fillId="0" borderId="0" xfId="0" applyFill="1" applyBorder="1"/>
    <xf numFmtId="0" fontId="18" fillId="0" borderId="0" xfId="0" applyFont="1" applyBorder="1" applyAlignment="1">
      <alignment horizontal="center"/>
    </xf>
    <xf numFmtId="0" fontId="0" fillId="0" borderId="1" xfId="0" applyFill="1" applyBorder="1"/>
    <xf numFmtId="0" fontId="0" fillId="7" borderId="1" xfId="0" applyFill="1" applyBorder="1"/>
    <xf numFmtId="10" fontId="0" fillId="7" borderId="1" xfId="0" applyNumberFormat="1" applyFill="1" applyBorder="1"/>
    <xf numFmtId="0" fontId="19" fillId="0" borderId="0" xfId="0" applyFont="1"/>
    <xf numFmtId="0" fontId="1" fillId="7" borderId="0" xfId="0" applyFont="1" applyFill="1" applyBorder="1"/>
    <xf numFmtId="0" fontId="5" fillId="3" borderId="1" xfId="0" applyFont="1" applyFill="1" applyBorder="1" applyAlignment="1">
      <alignment horizontal="center" wrapText="1"/>
    </xf>
    <xf numFmtId="164" fontId="1" fillId="2" borderId="1" xfId="0" applyNumberFormat="1" applyFont="1" applyFill="1" applyBorder="1"/>
    <xf numFmtId="0" fontId="1" fillId="0" borderId="3" xfId="0" applyFont="1" applyBorder="1"/>
    <xf numFmtId="2" fontId="1" fillId="0" borderId="0" xfId="0" applyNumberFormat="1" applyFont="1" applyBorder="1"/>
    <xf numFmtId="164" fontId="1" fillId="6" borderId="1" xfId="0" applyNumberFormat="1" applyFont="1" applyFill="1" applyBorder="1"/>
    <xf numFmtId="164" fontId="1" fillId="0" borderId="8" xfId="0" applyNumberFormat="1" applyFont="1" applyBorder="1"/>
    <xf numFmtId="164" fontId="1" fillId="0" borderId="1" xfId="0" applyNumberFormat="1" applyFont="1" applyBorder="1"/>
    <xf numFmtId="0" fontId="7" fillId="0" borderId="0" xfId="0" applyFont="1" applyFill="1" applyBorder="1" applyAlignment="1">
      <alignment wrapText="1"/>
    </xf>
    <xf numFmtId="0" fontId="5" fillId="6" borderId="0" xfId="0" applyFont="1" applyFill="1"/>
    <xf numFmtId="0" fontId="12" fillId="0" borderId="1" xfId="0" applyFont="1" applyFill="1" applyBorder="1" applyAlignment="1">
      <alignment horizontal="center"/>
    </xf>
    <xf numFmtId="3" fontId="0" fillId="0" borderId="1" xfId="0" applyNumberFormat="1" applyFont="1" applyFill="1" applyBorder="1" applyAlignment="1">
      <alignment horizontal="center" wrapText="1"/>
    </xf>
    <xf numFmtId="0" fontId="15" fillId="0" borderId="1" xfId="0" applyNumberFormat="1" applyFont="1" applyFill="1" applyBorder="1" applyAlignment="1">
      <alignment horizontal="center" wrapText="1"/>
    </xf>
    <xf numFmtId="0" fontId="12" fillId="5" borderId="1" xfId="0" applyFont="1" applyFill="1" applyBorder="1" applyAlignment="1">
      <alignment wrapText="1"/>
    </xf>
    <xf numFmtId="0" fontId="8" fillId="5" borderId="1" xfId="0" applyNumberFormat="1" applyFont="1" applyFill="1" applyBorder="1" applyAlignment="1">
      <alignment horizontal="center" wrapText="1"/>
    </xf>
    <xf numFmtId="0" fontId="8" fillId="5" borderId="1" xfId="0" applyFont="1" applyFill="1" applyBorder="1"/>
    <xf numFmtId="0" fontId="0" fillId="0" borderId="0" xfId="0" applyFont="1" applyBorder="1"/>
    <xf numFmtId="0" fontId="0" fillId="0" borderId="1" xfId="0" applyNumberFormat="1" applyFill="1" applyBorder="1" applyAlignment="1">
      <alignment vertical="justify" wrapText="1" readingOrder="1"/>
    </xf>
    <xf numFmtId="0" fontId="1" fillId="6" borderId="0" xfId="0" applyFont="1" applyFill="1" applyAlignment="1">
      <alignment horizontal="center"/>
    </xf>
    <xf numFmtId="0" fontId="20" fillId="0" borderId="0" xfId="0" applyFont="1"/>
    <xf numFmtId="17" fontId="20" fillId="0" borderId="0" xfId="0" applyNumberFormat="1" applyFont="1"/>
    <xf numFmtId="0" fontId="0" fillId="7" borderId="1" xfId="0" applyFill="1" applyBorder="1" applyAlignment="1">
      <alignment horizontal="right"/>
    </xf>
    <xf numFmtId="0" fontId="0" fillId="0" borderId="0" xfId="0" applyFont="1"/>
    <xf numFmtId="0" fontId="10" fillId="0" borderId="0" xfId="0" applyFont="1"/>
    <xf numFmtId="164" fontId="1" fillId="0" borderId="0" xfId="0" applyNumberFormat="1" applyFont="1" applyBorder="1"/>
    <xf numFmtId="0" fontId="22" fillId="0" borderId="1" xfId="0" applyFont="1" applyBorder="1"/>
    <xf numFmtId="0" fontId="23" fillId="0" borderId="0" xfId="0" applyFont="1"/>
    <xf numFmtId="14" fontId="8" fillId="0" borderId="1" xfId="0" applyNumberFormat="1" applyFont="1" applyBorder="1" applyAlignment="1">
      <alignment wrapText="1" readingOrder="1"/>
    </xf>
    <xf numFmtId="14" fontId="0" fillId="0" borderId="1" xfId="0" applyNumberFormat="1" applyBorder="1" applyAlignment="1">
      <alignment wrapText="1" readingOrder="1"/>
    </xf>
    <xf numFmtId="14" fontId="0" fillId="0" borderId="0" xfId="0" applyNumberFormat="1"/>
    <xf numFmtId="14" fontId="0" fillId="0" borderId="1" xfId="0" applyNumberFormat="1" applyBorder="1"/>
    <xf numFmtId="165" fontId="0" fillId="0" borderId="1" xfId="0" applyNumberFormat="1" applyFill="1" applyBorder="1" applyAlignment="1">
      <alignment wrapText="1" readingOrder="1"/>
    </xf>
    <xf numFmtId="0" fontId="0" fillId="0" borderId="1" xfId="0" applyFill="1" applyBorder="1" applyAlignment="1">
      <alignment wrapText="1" readingOrder="1"/>
    </xf>
    <xf numFmtId="0" fontId="7" fillId="0" borderId="2" xfId="0" applyFont="1" applyBorder="1" applyAlignment="1">
      <alignment horizontal="left" wrapText="1"/>
    </xf>
    <xf numFmtId="0" fontId="16" fillId="0" borderId="2" xfId="0" applyFont="1" applyBorder="1" applyAlignment="1">
      <alignment horizontal="left" wrapText="1"/>
    </xf>
    <xf numFmtId="0" fontId="8" fillId="0" borderId="1" xfId="0" applyFont="1" applyBorder="1" applyAlignment="1">
      <alignment horizontal="center"/>
    </xf>
    <xf numFmtId="0" fontId="9" fillId="0" borderId="0" xfId="0" applyFont="1" applyFill="1" applyBorder="1" applyAlignment="1">
      <alignment wrapText="1"/>
    </xf>
    <xf numFmtId="0" fontId="9" fillId="0" borderId="0" xfId="0" applyFont="1" applyBorder="1"/>
    <xf numFmtId="0" fontId="10" fillId="0" borderId="0" xfId="0" applyFont="1" applyBorder="1" applyAlignment="1">
      <alignment wrapText="1"/>
    </xf>
    <xf numFmtId="10" fontId="21" fillId="0" borderId="0" xfId="0" applyNumberFormat="1" applyFont="1" applyAlignment="1">
      <alignment horizontal="left" vertical="center" wrapText="1" indent="2" readingOrder="1"/>
    </xf>
    <xf numFmtId="0" fontId="0" fillId="0" borderId="3"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center" wrapText="1"/>
    </xf>
    <xf numFmtId="0" fontId="8" fillId="5" borderId="3" xfId="0" applyNumberFormat="1" applyFont="1" applyFill="1" applyBorder="1" applyAlignment="1">
      <alignment horizontal="center" wrapText="1"/>
    </xf>
    <xf numFmtId="0" fontId="8" fillId="5" borderId="8" xfId="0" applyNumberFormat="1" applyFont="1" applyFill="1" applyBorder="1" applyAlignment="1">
      <alignment horizontal="center" wrapText="1"/>
    </xf>
    <xf numFmtId="0" fontId="0" fillId="7" borderId="3" xfId="0" applyFill="1" applyBorder="1" applyAlignment="1">
      <alignment horizontal="center"/>
    </xf>
    <xf numFmtId="0" fontId="0" fillId="7" borderId="8"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8"/>
  <sheetViews>
    <sheetView tabSelected="1" zoomScale="90" zoomScaleNormal="90" zoomScalePageLayoutView="110" workbookViewId="0"/>
  </sheetViews>
  <sheetFormatPr defaultColWidth="8.88671875" defaultRowHeight="14.4"/>
  <cols>
    <col min="1" max="1" width="14.6640625" customWidth="1"/>
    <col min="2" max="2" width="88" bestFit="1" customWidth="1"/>
    <col min="3" max="3" width="16.44140625" customWidth="1"/>
    <col min="4" max="4" width="49.109375" customWidth="1"/>
    <col min="5" max="5" width="27.33203125" customWidth="1"/>
    <col min="6" max="6" width="28.44140625" customWidth="1"/>
    <col min="7" max="7" width="25.109375" customWidth="1"/>
    <col min="8" max="8" width="25.44140625" customWidth="1"/>
    <col min="9" max="9" width="28.44140625" customWidth="1"/>
    <col min="11" max="11" width="23.44140625" customWidth="1"/>
    <col min="12" max="12" width="36.6640625" customWidth="1"/>
  </cols>
  <sheetData>
    <row r="1" spans="1:8" ht="17.25" customHeight="1">
      <c r="A1" s="65" t="str">
        <f>('Change Log'!B16)</f>
        <v>Rev:2Mar2018</v>
      </c>
      <c r="B1" s="66"/>
      <c r="C1" s="1"/>
      <c r="D1" s="1"/>
      <c r="E1" s="1"/>
      <c r="F1" s="1"/>
      <c r="G1" s="1"/>
      <c r="H1" s="1"/>
    </row>
    <row r="2" spans="1:8" ht="18">
      <c r="B2" s="2" t="s">
        <v>32</v>
      </c>
      <c r="C2" s="1"/>
      <c r="E2" s="1"/>
      <c r="F2" s="1"/>
      <c r="G2" s="1"/>
      <c r="H2" s="1"/>
    </row>
    <row r="3" spans="1:8" ht="18">
      <c r="A3" s="3" t="s">
        <v>6</v>
      </c>
      <c r="B3" s="64"/>
      <c r="C3" s="4"/>
      <c r="D3" s="30" t="s">
        <v>30</v>
      </c>
      <c r="E3" s="1"/>
      <c r="F3" s="1"/>
      <c r="G3" s="1"/>
      <c r="H3" s="1"/>
    </row>
    <row r="4" spans="1:8" ht="18">
      <c r="A4" s="3" t="s">
        <v>7</v>
      </c>
      <c r="B4" s="22"/>
      <c r="C4" s="1"/>
      <c r="D4" s="29">
        <f>Worksheet!E27</f>
        <v>0</v>
      </c>
      <c r="E4" s="1"/>
      <c r="F4" s="1"/>
      <c r="G4" s="1"/>
      <c r="H4" s="1"/>
    </row>
    <row r="5" spans="1:8" ht="18">
      <c r="A5" s="3" t="s">
        <v>8</v>
      </c>
      <c r="B5" s="22"/>
      <c r="C5" s="1"/>
      <c r="D5" s="1"/>
      <c r="E5" s="1"/>
      <c r="F5" s="1"/>
      <c r="G5" s="1"/>
      <c r="H5" s="1"/>
    </row>
    <row r="6" spans="1:8" ht="18">
      <c r="A6" s="3" t="s">
        <v>9</v>
      </c>
      <c r="B6" s="22"/>
      <c r="C6" s="1"/>
      <c r="D6" s="30" t="s">
        <v>31</v>
      </c>
      <c r="E6" s="1"/>
      <c r="F6" s="1"/>
      <c r="G6" s="1"/>
      <c r="H6" s="1"/>
    </row>
    <row r="7" spans="1:8" ht="18">
      <c r="A7" s="1"/>
      <c r="B7" s="1"/>
      <c r="C7" s="1"/>
      <c r="D7" s="29">
        <f>Worksheet!E21+Worksheet!E22</f>
        <v>0</v>
      </c>
      <c r="E7" s="1"/>
      <c r="F7" s="1"/>
      <c r="G7" s="1"/>
      <c r="H7" s="1"/>
    </row>
    <row r="8" spans="1:8" ht="18">
      <c r="A8" s="7"/>
      <c r="B8" s="8" t="s">
        <v>12</v>
      </c>
      <c r="C8" s="1"/>
      <c r="D8" s="1"/>
      <c r="E8" s="9"/>
      <c r="F8" s="1"/>
      <c r="G8" s="1"/>
      <c r="H8" s="1"/>
    </row>
    <row r="9" spans="1:8" ht="18">
      <c r="A9" s="23">
        <v>0</v>
      </c>
      <c r="B9" s="10" t="s">
        <v>74</v>
      </c>
      <c r="C9" s="1"/>
      <c r="D9" s="85" t="s">
        <v>135</v>
      </c>
      <c r="E9" s="9"/>
      <c r="F9" s="1"/>
      <c r="G9" s="1"/>
      <c r="H9" s="1"/>
    </row>
    <row r="10" spans="1:8" ht="18">
      <c r="A10" s="23">
        <v>0</v>
      </c>
      <c r="B10" s="10" t="s">
        <v>56</v>
      </c>
      <c r="C10" s="1"/>
      <c r="D10" s="50">
        <f>Worksheet!B68</f>
        <v>0</v>
      </c>
      <c r="E10" s="9"/>
      <c r="F10" s="1"/>
      <c r="G10" s="1"/>
      <c r="H10" s="1"/>
    </row>
    <row r="11" spans="1:8" ht="21" customHeight="1">
      <c r="A11" s="23">
        <v>0</v>
      </c>
      <c r="B11" s="10" t="s">
        <v>77</v>
      </c>
      <c r="C11" s="1"/>
      <c r="D11" s="94"/>
      <c r="E11" s="1"/>
      <c r="F11" s="1"/>
      <c r="G11" s="1"/>
      <c r="H11" s="1"/>
    </row>
    <row r="12" spans="1:8" ht="18">
      <c r="A12" s="23">
        <v>0</v>
      </c>
      <c r="B12" s="10" t="s">
        <v>13</v>
      </c>
      <c r="C12" s="1"/>
      <c r="D12" s="79"/>
      <c r="E12" s="1"/>
      <c r="F12" s="1"/>
      <c r="G12" s="1"/>
      <c r="H12" s="1"/>
    </row>
    <row r="13" spans="1:8" ht="18">
      <c r="A13" s="23">
        <v>0</v>
      </c>
      <c r="B13" s="10" t="s">
        <v>57</v>
      </c>
      <c r="C13" s="1"/>
      <c r="E13" s="1"/>
      <c r="F13" s="1"/>
      <c r="G13" s="1"/>
      <c r="H13" s="1"/>
    </row>
    <row r="14" spans="1:8" ht="18">
      <c r="A14" s="6"/>
      <c r="B14" s="1"/>
      <c r="C14" s="1"/>
      <c r="E14" s="56"/>
      <c r="F14" s="56"/>
      <c r="G14" s="1"/>
      <c r="H14" s="1"/>
    </row>
    <row r="15" spans="1:8" ht="19.5" customHeight="1">
      <c r="A15" s="12"/>
      <c r="B15" s="1"/>
      <c r="C15" s="1"/>
      <c r="H15" s="1"/>
    </row>
    <row r="16" spans="1:8" ht="18">
      <c r="A16" s="12"/>
      <c r="B16" s="3" t="s">
        <v>14</v>
      </c>
      <c r="C16" s="1"/>
      <c r="D16" s="117" t="s">
        <v>125</v>
      </c>
      <c r="E16" s="118"/>
      <c r="F16" s="118"/>
      <c r="G16" s="104"/>
    </row>
    <row r="17" spans="1:8" ht="18">
      <c r="A17" s="24">
        <v>0</v>
      </c>
      <c r="B17" s="13" t="s">
        <v>15</v>
      </c>
      <c r="C17" s="1"/>
      <c r="D17" s="97" t="s">
        <v>88</v>
      </c>
      <c r="E17" s="98" t="s">
        <v>84</v>
      </c>
      <c r="F17" s="99" t="s">
        <v>96</v>
      </c>
    </row>
    <row r="18" spans="1:8" ht="18">
      <c r="A18" s="24">
        <v>0</v>
      </c>
      <c r="B18" s="13" t="s">
        <v>10</v>
      </c>
      <c r="C18" s="1"/>
      <c r="D18" s="58" t="s">
        <v>176</v>
      </c>
      <c r="E18" s="59" t="s">
        <v>189</v>
      </c>
      <c r="F18" s="86"/>
    </row>
    <row r="19" spans="1:8" ht="18">
      <c r="A19" s="24">
        <v>0</v>
      </c>
      <c r="B19" s="13" t="s">
        <v>17</v>
      </c>
      <c r="C19" s="1"/>
      <c r="D19" s="57" t="s">
        <v>177</v>
      </c>
      <c r="E19" s="75" t="s">
        <v>190</v>
      </c>
      <c r="F19" s="86"/>
      <c r="G19" s="103"/>
    </row>
    <row r="20" spans="1:8" ht="18">
      <c r="A20" s="24">
        <v>0</v>
      </c>
      <c r="B20" s="13" t="s">
        <v>16</v>
      </c>
      <c r="C20" s="1"/>
      <c r="D20" s="50" t="s">
        <v>179</v>
      </c>
      <c r="E20" s="50" t="s">
        <v>178</v>
      </c>
      <c r="F20" s="86"/>
    </row>
    <row r="21" spans="1:8" ht="20.25" customHeight="1">
      <c r="A21" s="24">
        <v>0</v>
      </c>
      <c r="B21" s="13" t="s">
        <v>18</v>
      </c>
      <c r="C21" s="1"/>
      <c r="D21" s="50" t="s">
        <v>137</v>
      </c>
      <c r="E21" s="50" t="s">
        <v>162</v>
      </c>
      <c r="F21" s="86"/>
      <c r="G21" s="103"/>
    </row>
    <row r="22" spans="1:8" ht="21.75" customHeight="1">
      <c r="A22" s="24">
        <v>0</v>
      </c>
      <c r="B22" s="13" t="s">
        <v>78</v>
      </c>
      <c r="C22" s="1"/>
      <c r="D22" s="50" t="s">
        <v>140</v>
      </c>
      <c r="E22" s="59" t="s">
        <v>163</v>
      </c>
      <c r="F22" s="86"/>
      <c r="G22" s="1"/>
    </row>
    <row r="23" spans="1:8" ht="19.5" customHeight="1">
      <c r="A23" s="24">
        <v>0</v>
      </c>
      <c r="B23" s="13" t="s">
        <v>79</v>
      </c>
      <c r="C23" s="1"/>
      <c r="D23" s="78"/>
      <c r="E23" s="68"/>
      <c r="F23" s="44"/>
      <c r="G23" s="1"/>
    </row>
    <row r="24" spans="1:8" ht="18">
      <c r="A24" s="24">
        <v>0</v>
      </c>
      <c r="B24" s="13" t="s">
        <v>36</v>
      </c>
      <c r="C24" s="1"/>
      <c r="D24" s="78"/>
      <c r="E24" s="68"/>
      <c r="F24" s="44"/>
      <c r="G24" s="1"/>
    </row>
    <row r="25" spans="1:8" ht="18">
      <c r="A25" s="23">
        <v>0</v>
      </c>
      <c r="B25" s="13" t="s">
        <v>61</v>
      </c>
      <c r="C25" s="1"/>
      <c r="D25" s="78"/>
      <c r="E25" s="68"/>
      <c r="F25" s="44"/>
      <c r="G25" s="1"/>
      <c r="H25" s="1"/>
    </row>
    <row r="26" spans="1:8" ht="18">
      <c r="A26" s="24">
        <v>0</v>
      </c>
      <c r="B26" s="13" t="s">
        <v>62</v>
      </c>
      <c r="C26" s="1"/>
      <c r="G26" s="1"/>
      <c r="H26" s="1"/>
    </row>
    <row r="27" spans="1:8" ht="18">
      <c r="A27" s="23">
        <v>0</v>
      </c>
      <c r="B27" s="13" t="s">
        <v>22</v>
      </c>
      <c r="C27" s="1"/>
      <c r="D27" s="78"/>
      <c r="E27" s="78"/>
      <c r="F27" s="78"/>
      <c r="G27" s="1"/>
      <c r="H27" s="1"/>
    </row>
    <row r="28" spans="1:8" ht="18">
      <c r="A28" s="37" t="s">
        <v>34</v>
      </c>
      <c r="B28" s="109" t="s">
        <v>199</v>
      </c>
      <c r="C28" s="1"/>
      <c r="D28" s="78"/>
      <c r="E28" s="78"/>
      <c r="F28" s="78"/>
      <c r="G28" s="1"/>
      <c r="H28" s="1"/>
    </row>
    <row r="29" spans="1:8" ht="18">
      <c r="A29" s="14"/>
      <c r="B29" s="11"/>
      <c r="C29" s="1"/>
      <c r="D29" s="78"/>
      <c r="E29" s="78"/>
      <c r="F29" s="78"/>
      <c r="G29" s="1"/>
      <c r="H29" s="1"/>
    </row>
    <row r="30" spans="1:8" ht="18">
      <c r="A30" s="14"/>
      <c r="B30" s="11"/>
      <c r="C30" s="1"/>
      <c r="H30" s="1"/>
    </row>
    <row r="31" spans="1:8" ht="18">
      <c r="A31" s="15"/>
      <c r="B31" s="16" t="s">
        <v>19</v>
      </c>
      <c r="C31" s="4"/>
      <c r="D31" s="92"/>
      <c r="F31" s="45"/>
      <c r="G31" s="1"/>
      <c r="H31" s="1"/>
    </row>
    <row r="32" spans="1:8" ht="18">
      <c r="A32" s="24">
        <v>0</v>
      </c>
      <c r="B32" s="13" t="s">
        <v>208</v>
      </c>
      <c r="C32" s="1"/>
      <c r="D32" s="121"/>
      <c r="E32" s="121"/>
      <c r="F32" s="44"/>
      <c r="G32" s="1"/>
      <c r="H32" s="1"/>
    </row>
    <row r="33" spans="1:8" ht="18">
      <c r="A33" s="24">
        <v>0</v>
      </c>
      <c r="B33" s="13" t="s">
        <v>82</v>
      </c>
      <c r="C33" s="1"/>
      <c r="D33" s="68"/>
      <c r="E33" s="100"/>
      <c r="F33" s="44"/>
      <c r="G33" s="1"/>
      <c r="H33" s="1"/>
    </row>
    <row r="34" spans="1:8" ht="18">
      <c r="A34" s="24">
        <v>0</v>
      </c>
      <c r="B34" s="13" t="s">
        <v>52</v>
      </c>
      <c r="C34" s="1"/>
      <c r="F34" s="45"/>
      <c r="G34" s="1"/>
      <c r="H34" s="1"/>
    </row>
    <row r="35" spans="1:8" ht="18">
      <c r="A35" s="24">
        <v>0</v>
      </c>
      <c r="B35" s="13" t="s">
        <v>53</v>
      </c>
      <c r="C35" s="1"/>
      <c r="G35" s="1"/>
      <c r="H35" s="1"/>
    </row>
    <row r="36" spans="1:8" ht="18">
      <c r="A36" s="23">
        <v>0</v>
      </c>
      <c r="B36" s="13" t="s">
        <v>113</v>
      </c>
      <c r="C36" s="1"/>
      <c r="G36" s="1"/>
      <c r="H36" s="1"/>
    </row>
    <row r="37" spans="1:8" ht="18">
      <c r="A37" s="17"/>
      <c r="B37" s="18"/>
      <c r="C37" s="1"/>
      <c r="G37" s="1"/>
      <c r="H37" s="1"/>
    </row>
    <row r="38" spans="1:8" ht="18">
      <c r="A38" s="15"/>
      <c r="B38" s="16" t="s">
        <v>20</v>
      </c>
      <c r="C38" s="19"/>
      <c r="G38" s="1"/>
      <c r="H38" s="1"/>
    </row>
    <row r="39" spans="1:8" ht="18">
      <c r="A39" s="25">
        <v>1</v>
      </c>
      <c r="B39" s="13" t="s">
        <v>23</v>
      </c>
      <c r="C39" s="9"/>
      <c r="G39" s="1"/>
      <c r="H39" s="1"/>
    </row>
    <row r="40" spans="1:8" ht="18">
      <c r="A40" s="25">
        <v>0.25</v>
      </c>
      <c r="B40" s="13" t="s">
        <v>24</v>
      </c>
      <c r="C40" s="9"/>
      <c r="D40" s="20"/>
      <c r="E40" s="9"/>
      <c r="F40" s="1"/>
      <c r="G40" s="1"/>
      <c r="H40" s="1"/>
    </row>
    <row r="41" spans="1:8" ht="18">
      <c r="A41" s="25">
        <v>0</v>
      </c>
      <c r="B41" s="13" t="s">
        <v>67</v>
      </c>
      <c r="C41" s="9"/>
      <c r="G41" s="1"/>
      <c r="H41" s="1"/>
    </row>
    <row r="42" spans="1:8" ht="18">
      <c r="A42" s="25">
        <v>0</v>
      </c>
      <c r="B42" s="13" t="s">
        <v>68</v>
      </c>
      <c r="C42" s="9"/>
      <c r="G42" s="1"/>
      <c r="H42" s="1"/>
    </row>
    <row r="43" spans="1:8" ht="19.5" customHeight="1">
      <c r="A43" s="25">
        <v>0.05</v>
      </c>
      <c r="B43" s="13" t="s">
        <v>129</v>
      </c>
      <c r="C43" s="9"/>
      <c r="G43" s="1"/>
      <c r="H43" s="1"/>
    </row>
    <row r="44" spans="1:8" ht="19.5" customHeight="1">
      <c r="A44" s="25">
        <v>0</v>
      </c>
      <c r="B44" s="13" t="s">
        <v>64</v>
      </c>
      <c r="C44" s="9"/>
      <c r="G44" s="1"/>
      <c r="H44" s="1"/>
    </row>
    <row r="45" spans="1:8" ht="19.5" customHeight="1">
      <c r="A45" s="25">
        <v>0</v>
      </c>
      <c r="B45" s="13" t="s">
        <v>63</v>
      </c>
      <c r="C45" s="9"/>
      <c r="G45" s="1"/>
      <c r="H45" s="1"/>
    </row>
    <row r="46" spans="1:8" ht="18">
      <c r="A46" s="37" t="s">
        <v>34</v>
      </c>
      <c r="B46" s="13" t="s">
        <v>35</v>
      </c>
      <c r="C46" s="9"/>
      <c r="F46" s="1"/>
      <c r="G46" s="1"/>
      <c r="H46" s="1"/>
    </row>
    <row r="47" spans="1:8" ht="18">
      <c r="A47" s="1"/>
      <c r="B47" s="21"/>
      <c r="C47" s="9"/>
      <c r="F47" s="1"/>
      <c r="G47" s="1"/>
      <c r="H47" s="1"/>
    </row>
    <row r="48" spans="1:8" ht="18.600000000000001" thickBot="1">
      <c r="A48" s="1"/>
      <c r="B48" s="21"/>
      <c r="C48" s="1"/>
      <c r="D48" s="120"/>
      <c r="E48" s="120"/>
      <c r="F48" s="1"/>
      <c r="G48" s="1"/>
      <c r="H48" s="1"/>
    </row>
    <row r="49" spans="1:8" ht="18">
      <c r="A49" s="1"/>
      <c r="B49" s="31" t="s">
        <v>11</v>
      </c>
      <c r="C49" s="1"/>
      <c r="D49" s="120"/>
      <c r="E49" s="120"/>
      <c r="F49" s="120"/>
      <c r="G49" s="1"/>
      <c r="H49" s="1"/>
    </row>
    <row r="50" spans="1:8" ht="18">
      <c r="A50" s="1"/>
      <c r="B50" s="32"/>
      <c r="C50" s="1"/>
      <c r="D50" s="120"/>
      <c r="E50" s="120"/>
      <c r="F50" s="120"/>
      <c r="G50" s="1"/>
      <c r="H50" s="1"/>
    </row>
    <row r="51" spans="1:8" ht="18">
      <c r="A51" s="1"/>
      <c r="B51" s="32"/>
      <c r="C51" s="1"/>
      <c r="D51" s="1"/>
      <c r="E51" s="1"/>
      <c r="F51" s="1"/>
      <c r="G51" s="1"/>
      <c r="H51" s="1"/>
    </row>
    <row r="52" spans="1:8" ht="18">
      <c r="A52" s="1"/>
      <c r="B52" s="32"/>
      <c r="C52" s="1"/>
      <c r="D52" s="1"/>
      <c r="E52" s="1"/>
      <c r="F52" s="1"/>
      <c r="G52" s="1"/>
      <c r="H52" s="1"/>
    </row>
    <row r="53" spans="1:8" ht="18.600000000000001" thickBot="1">
      <c r="A53" s="1"/>
      <c r="B53" s="33"/>
      <c r="C53" s="1"/>
      <c r="D53" s="1"/>
      <c r="E53" s="1"/>
      <c r="F53" s="1"/>
      <c r="G53" s="1"/>
      <c r="H53" s="1"/>
    </row>
    <row r="54" spans="1:8" ht="18">
      <c r="A54" s="5" t="s">
        <v>200</v>
      </c>
      <c r="B54" s="1"/>
      <c r="C54" s="1"/>
      <c r="D54" s="1"/>
      <c r="E54" s="1"/>
      <c r="F54" s="1"/>
      <c r="G54" s="1"/>
      <c r="H54" s="1"/>
    </row>
    <row r="55" spans="1:8" ht="18">
      <c r="A55" s="5" t="s">
        <v>201</v>
      </c>
      <c r="B55" s="1"/>
      <c r="C55" s="1"/>
      <c r="D55" s="1"/>
      <c r="E55" s="1"/>
      <c r="F55" s="1"/>
      <c r="G55" s="1"/>
      <c r="H55" s="1"/>
    </row>
    <row r="56" spans="1:8" ht="18">
      <c r="A56" s="5"/>
      <c r="B56" s="1"/>
      <c r="C56" s="1"/>
      <c r="D56" s="1"/>
      <c r="E56" s="1"/>
      <c r="F56" s="1"/>
      <c r="G56" s="1"/>
      <c r="H56" s="1"/>
    </row>
    <row r="57" spans="1:8" ht="18">
      <c r="A57" s="5" t="s">
        <v>202</v>
      </c>
      <c r="B57" s="1"/>
      <c r="C57" s="1"/>
      <c r="D57" s="1"/>
      <c r="E57" s="1"/>
      <c r="F57" s="1"/>
      <c r="G57" s="1"/>
      <c r="H57" s="1"/>
    </row>
    <row r="58" spans="1:8" ht="18">
      <c r="A58" s="34" t="s">
        <v>203</v>
      </c>
      <c r="B58" s="1"/>
      <c r="C58" s="1"/>
      <c r="D58" s="1"/>
      <c r="E58" s="1"/>
      <c r="F58" s="1"/>
      <c r="G58" s="1"/>
      <c r="H58" s="1"/>
    </row>
    <row r="59" spans="1:8" ht="18">
      <c r="A59" s="35" t="s">
        <v>204</v>
      </c>
      <c r="B59" s="1"/>
      <c r="C59" s="1"/>
      <c r="D59" s="1"/>
      <c r="E59" s="1"/>
      <c r="F59" s="1"/>
      <c r="G59" s="1"/>
      <c r="H59" s="1"/>
    </row>
    <row r="60" spans="1:8" ht="18">
      <c r="A60" s="35" t="s">
        <v>205</v>
      </c>
      <c r="B60" s="1"/>
      <c r="C60" s="1"/>
      <c r="D60" s="1"/>
      <c r="E60" s="1"/>
      <c r="F60" s="1"/>
      <c r="G60" s="1"/>
      <c r="H60" s="1"/>
    </row>
    <row r="61" spans="1:8" ht="18">
      <c r="A61" s="5" t="s">
        <v>206</v>
      </c>
      <c r="B61" s="1"/>
      <c r="C61" s="1"/>
      <c r="D61" s="1"/>
      <c r="E61" s="1"/>
      <c r="F61" s="1"/>
      <c r="G61" s="1"/>
      <c r="H61" s="1"/>
    </row>
    <row r="62" spans="1:8" ht="18">
      <c r="A62" s="5"/>
      <c r="B62" s="1"/>
      <c r="C62" s="1"/>
      <c r="D62" s="1"/>
      <c r="E62" s="1"/>
      <c r="F62" s="1"/>
      <c r="G62" s="1"/>
      <c r="H62" s="1"/>
    </row>
    <row r="63" spans="1:8" ht="18">
      <c r="A63" s="5" t="s">
        <v>69</v>
      </c>
      <c r="B63" s="1"/>
      <c r="C63" s="1"/>
      <c r="D63" s="1"/>
      <c r="E63" s="1"/>
      <c r="F63" s="1"/>
      <c r="G63" s="1"/>
      <c r="H63" s="1"/>
    </row>
    <row r="64" spans="1:8" ht="18">
      <c r="A64" s="5" t="s">
        <v>207</v>
      </c>
    </row>
    <row r="152" spans="8:12">
      <c r="H152" s="119" t="s">
        <v>117</v>
      </c>
      <c r="I152" s="119"/>
      <c r="K152" s="119"/>
      <c r="L152" s="119"/>
    </row>
    <row r="153" spans="8:12">
      <c r="H153" s="50" t="s">
        <v>109</v>
      </c>
      <c r="I153" s="50" t="s">
        <v>116</v>
      </c>
      <c r="K153" s="50"/>
      <c r="L153" s="50"/>
    </row>
    <row r="154" spans="8:12">
      <c r="H154" s="50"/>
      <c r="I154" s="50"/>
      <c r="K154" s="50"/>
      <c r="L154" s="50"/>
    </row>
    <row r="155" spans="8:12">
      <c r="H155" s="50"/>
      <c r="I155" s="50"/>
      <c r="K155" s="50"/>
      <c r="L155" s="50"/>
    </row>
    <row r="156" spans="8:12">
      <c r="H156" s="68"/>
      <c r="I156" s="68"/>
      <c r="K156" s="80"/>
      <c r="L156" s="80"/>
    </row>
    <row r="157" spans="8:12">
      <c r="H157" s="68"/>
      <c r="I157" s="68"/>
    </row>
    <row r="158" spans="8:12">
      <c r="H158" s="68"/>
      <c r="I158" s="68"/>
    </row>
  </sheetData>
  <mergeCells count="7">
    <mergeCell ref="D16:F16"/>
    <mergeCell ref="H152:I152"/>
    <mergeCell ref="K152:L152"/>
    <mergeCell ref="D48:E48"/>
    <mergeCell ref="D32:E32"/>
    <mergeCell ref="D49:F49"/>
    <mergeCell ref="D50:F50"/>
  </mergeCells>
  <dataValidations disablePrompts="1" count="3">
    <dataValidation type="list" allowBlank="1" showInputMessage="1" showErrorMessage="1" sqref="A46 A28">
      <formula1>"Yes, No"</formula1>
    </dataValidation>
    <dataValidation type="list" allowBlank="1" showInputMessage="1" showErrorMessage="1" sqref="B47">
      <formula1>"0,1,2"</formula1>
    </dataValidation>
    <dataValidation type="list" errorStyle="warning" showDropDown="1" showInputMessage="1" showErrorMessage="1" error="If the part number is not available in the drop down list you can   write the part number from the price sheet._x000a__x000a__x000a_" sqref="E33">
      <formula1>$I$153:$I$155</formula1>
    </dataValidation>
  </dataValidations>
  <pageMargins left="0.7" right="0.7" top="0.75" bottom="0.75" header="0.3" footer="0.3"/>
  <pageSetup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5"/>
  <sheetViews>
    <sheetView zoomScale="80" zoomScaleNormal="80" zoomScalePageLayoutView="80" workbookViewId="0"/>
  </sheetViews>
  <sheetFormatPr defaultColWidth="8.88671875" defaultRowHeight="14.4"/>
  <cols>
    <col min="1" max="1" width="14.88671875" customWidth="1"/>
    <col min="2" max="2" width="30.6640625" customWidth="1"/>
    <col min="3" max="3" width="25.109375" customWidth="1"/>
    <col min="4" max="4" width="17.44140625" customWidth="1"/>
    <col min="5" max="5" width="15" hidden="1" customWidth="1"/>
    <col min="6" max="6" width="17.6640625" customWidth="1"/>
    <col min="7" max="7" width="20.6640625" customWidth="1"/>
    <col min="8" max="8" width="16.33203125" customWidth="1"/>
    <col min="9" max="9" width="31.88671875" customWidth="1"/>
    <col min="10" max="10" width="32" customWidth="1"/>
    <col min="11" max="11" width="20.33203125" customWidth="1"/>
    <col min="12" max="12" width="34.44140625" customWidth="1"/>
    <col min="13" max="13" width="24" customWidth="1"/>
    <col min="14" max="15" width="13.88671875" customWidth="1"/>
    <col min="16" max="16" width="12.88671875" customWidth="1"/>
    <col min="17" max="17" width="13.88671875" customWidth="1"/>
  </cols>
  <sheetData>
    <row r="1" spans="1:13" ht="21" customHeight="1">
      <c r="A1" s="65" t="str">
        <f>('Change Log'!B16)</f>
        <v>Rev:2Mar2018</v>
      </c>
      <c r="B1" s="66"/>
      <c r="C1" s="42" t="s">
        <v>136</v>
      </c>
    </row>
    <row r="2" spans="1:13" ht="20.25" customHeight="1">
      <c r="B2" s="1"/>
      <c r="D2" s="1"/>
      <c r="E2" s="1"/>
      <c r="F2" s="1"/>
      <c r="G2" s="40"/>
      <c r="H2" s="1"/>
      <c r="I2" s="1"/>
      <c r="J2" s="1"/>
    </row>
    <row r="3" spans="1:13" ht="18">
      <c r="B3" s="1"/>
      <c r="C3" s="93" t="s">
        <v>191</v>
      </c>
      <c r="D3" s="1"/>
      <c r="E3" s="1"/>
      <c r="F3" s="1"/>
      <c r="G3" s="1"/>
      <c r="H3" s="1"/>
      <c r="I3" s="1"/>
      <c r="J3" s="1"/>
    </row>
    <row r="4" spans="1:13" ht="18">
      <c r="B4" s="1"/>
      <c r="C4" s="1"/>
      <c r="D4" s="9"/>
      <c r="E4" s="1"/>
      <c r="F4" s="43"/>
      <c r="G4" s="60"/>
      <c r="H4" s="60"/>
      <c r="I4" s="60"/>
      <c r="J4" s="62"/>
      <c r="K4" s="45"/>
      <c r="L4" s="43"/>
      <c r="M4" s="44"/>
    </row>
    <row r="5" spans="1:13" ht="18">
      <c r="B5" s="102" t="s">
        <v>158</v>
      </c>
      <c r="C5" s="1"/>
      <c r="D5" s="41" t="s">
        <v>92</v>
      </c>
      <c r="E5" s="41"/>
      <c r="F5" s="41" t="s">
        <v>93</v>
      </c>
      <c r="G5" s="41" t="s">
        <v>94</v>
      </c>
      <c r="H5" s="88"/>
      <c r="I5" s="42" t="s">
        <v>183</v>
      </c>
      <c r="J5" s="1"/>
      <c r="L5" s="1"/>
      <c r="M5" s="1"/>
    </row>
    <row r="6" spans="1:13" ht="18">
      <c r="B6" s="29">
        <f>C44+1</f>
        <v>1</v>
      </c>
      <c r="C6" s="87" t="s">
        <v>70</v>
      </c>
      <c r="D6" s="90">
        <f>'Inputs Page'!F18</f>
        <v>0</v>
      </c>
      <c r="E6" s="91"/>
      <c r="F6" s="91">
        <f>D6</f>
        <v>0</v>
      </c>
      <c r="G6" s="91">
        <f>B6*F6</f>
        <v>0</v>
      </c>
      <c r="I6" s="74" t="s">
        <v>73</v>
      </c>
      <c r="J6" s="73">
        <f>B6</f>
        <v>1</v>
      </c>
    </row>
    <row r="7" spans="1:13" ht="18">
      <c r="B7" s="29">
        <f>'Inputs Page'!D10</f>
        <v>0</v>
      </c>
      <c r="C7" s="29" t="s">
        <v>135</v>
      </c>
      <c r="D7" s="91">
        <f>'Inputs Page'!F21</f>
        <v>0</v>
      </c>
      <c r="E7" s="91"/>
      <c r="F7" s="91">
        <f>D7</f>
        <v>0</v>
      </c>
      <c r="G7" s="91">
        <f>B7*F7</f>
        <v>0</v>
      </c>
      <c r="I7" s="29" t="s">
        <v>134</v>
      </c>
      <c r="J7" s="29">
        <f>B7</f>
        <v>0</v>
      </c>
    </row>
    <row r="8" spans="1:13" ht="18">
      <c r="B8" s="29">
        <f>'Inputs Page'!D7</f>
        <v>0</v>
      </c>
      <c r="C8" s="29" t="s">
        <v>139</v>
      </c>
      <c r="D8" s="91">
        <f>'Inputs Page'!F22</f>
        <v>0</v>
      </c>
      <c r="E8" s="91"/>
      <c r="F8" s="91">
        <f>D8</f>
        <v>0</v>
      </c>
      <c r="G8" s="91">
        <f>B8*F8</f>
        <v>0</v>
      </c>
      <c r="I8" s="29" t="s">
        <v>138</v>
      </c>
      <c r="J8" s="29">
        <f>B8</f>
        <v>0</v>
      </c>
      <c r="K8" s="68"/>
    </row>
    <row r="9" spans="1:13" ht="18">
      <c r="B9" s="1"/>
      <c r="C9" s="1"/>
      <c r="D9" s="1"/>
      <c r="I9" s="73" t="s">
        <v>95</v>
      </c>
      <c r="J9" s="89">
        <f>SUM(G6:G8)</f>
        <v>0</v>
      </c>
    </row>
    <row r="10" spans="1:13" ht="18">
      <c r="B10" s="1"/>
      <c r="C10" s="1"/>
      <c r="D10" s="1"/>
      <c r="E10" s="1"/>
      <c r="F10" s="60"/>
      <c r="G10" s="60"/>
      <c r="H10" s="60"/>
      <c r="I10" s="88"/>
    </row>
    <row r="11" spans="1:13" ht="18">
      <c r="B11" s="1"/>
      <c r="C11" s="1"/>
      <c r="D11" s="1"/>
      <c r="E11" s="1"/>
      <c r="F11" s="60"/>
      <c r="G11" s="60"/>
      <c r="H11" s="60"/>
      <c r="I11" s="88"/>
    </row>
    <row r="12" spans="1:13" ht="18">
      <c r="B12" s="102" t="s">
        <v>158</v>
      </c>
      <c r="C12" s="1"/>
      <c r="D12" s="41" t="s">
        <v>92</v>
      </c>
      <c r="E12" s="61"/>
      <c r="F12" s="61" t="s">
        <v>93</v>
      </c>
      <c r="G12" s="41" t="s">
        <v>94</v>
      </c>
      <c r="H12" s="60"/>
      <c r="I12" s="42" t="s">
        <v>182</v>
      </c>
      <c r="J12" s="1"/>
      <c r="K12" s="45"/>
      <c r="L12" s="43"/>
      <c r="M12" s="44"/>
    </row>
    <row r="13" spans="1:13" ht="18">
      <c r="B13" s="29">
        <f>C45+1</f>
        <v>1</v>
      </c>
      <c r="C13" s="87" t="s">
        <v>71</v>
      </c>
      <c r="D13" s="90">
        <f>'Inputs Page'!F19</f>
        <v>0</v>
      </c>
      <c r="E13" s="91"/>
      <c r="F13" s="91">
        <f>D13</f>
        <v>0</v>
      </c>
      <c r="G13" s="91">
        <f>B13*F13</f>
        <v>0</v>
      </c>
      <c r="I13" s="74" t="s">
        <v>73</v>
      </c>
      <c r="J13" s="73">
        <f>B13</f>
        <v>1</v>
      </c>
      <c r="L13" s="1"/>
      <c r="M13" s="1"/>
    </row>
    <row r="14" spans="1:13" ht="18">
      <c r="B14" s="29">
        <f>'Inputs Page'!D10</f>
        <v>0</v>
      </c>
      <c r="C14" s="29" t="s">
        <v>135</v>
      </c>
      <c r="D14" s="91">
        <f>'Inputs Page'!F21</f>
        <v>0</v>
      </c>
      <c r="E14" s="91"/>
      <c r="F14" s="91">
        <f>D14</f>
        <v>0</v>
      </c>
      <c r="G14" s="91">
        <f>B14*F14</f>
        <v>0</v>
      </c>
      <c r="I14" s="29" t="s">
        <v>134</v>
      </c>
      <c r="J14" s="29">
        <f>B14</f>
        <v>0</v>
      </c>
      <c r="L14" s="1"/>
      <c r="M14" s="9"/>
    </row>
    <row r="15" spans="1:13" ht="18">
      <c r="B15" s="29">
        <f>'Inputs Page'!D7</f>
        <v>0</v>
      </c>
      <c r="C15" s="29" t="s">
        <v>139</v>
      </c>
      <c r="D15" s="91">
        <f>'Inputs Page'!F22</f>
        <v>0</v>
      </c>
      <c r="E15" s="91"/>
      <c r="F15" s="91">
        <f>D15</f>
        <v>0</v>
      </c>
      <c r="G15" s="91">
        <f>B15*F15</f>
        <v>0</v>
      </c>
      <c r="I15" s="29" t="s">
        <v>138</v>
      </c>
      <c r="J15" s="29">
        <f>B15</f>
        <v>0</v>
      </c>
      <c r="K15" s="68"/>
      <c r="L15" s="1"/>
      <c r="M15" s="84"/>
    </row>
    <row r="16" spans="1:13" ht="18">
      <c r="B16" s="9"/>
      <c r="C16" s="9"/>
      <c r="D16" s="108"/>
      <c r="E16" s="108"/>
      <c r="F16" s="108"/>
      <c r="G16" s="108"/>
      <c r="I16" s="73" t="s">
        <v>95</v>
      </c>
      <c r="J16" s="89">
        <f>SUM(G13:G15)</f>
        <v>0</v>
      </c>
      <c r="K16" s="68"/>
      <c r="L16" s="1"/>
      <c r="M16" s="84"/>
    </row>
    <row r="17" spans="2:13" ht="18">
      <c r="B17" s="9"/>
      <c r="C17" s="9"/>
      <c r="D17" s="108"/>
      <c r="E17" s="108"/>
      <c r="F17" s="108"/>
      <c r="G17" s="108"/>
      <c r="I17" s="9"/>
      <c r="J17" s="9"/>
      <c r="K17" s="68"/>
      <c r="L17" s="1"/>
      <c r="M17" s="84"/>
    </row>
    <row r="18" spans="2:13" ht="18">
      <c r="B18" s="9"/>
      <c r="C18" s="9"/>
      <c r="D18" s="108"/>
      <c r="E18" s="108"/>
      <c r="F18" s="108"/>
      <c r="G18" s="108"/>
      <c r="I18" s="9"/>
      <c r="J18" s="9"/>
      <c r="K18" s="68"/>
      <c r="L18" s="1"/>
      <c r="M18" s="84"/>
    </row>
    <row r="19" spans="2:13" ht="18">
      <c r="B19" s="102" t="s">
        <v>158</v>
      </c>
      <c r="C19" s="1"/>
      <c r="D19" s="41" t="s">
        <v>92</v>
      </c>
      <c r="E19" s="61"/>
      <c r="F19" s="61" t="s">
        <v>93</v>
      </c>
      <c r="G19" s="41" t="s">
        <v>94</v>
      </c>
      <c r="I19" s="107" t="s">
        <v>181</v>
      </c>
      <c r="J19" s="1"/>
      <c r="K19" s="68"/>
      <c r="L19" s="1"/>
      <c r="M19" s="84"/>
    </row>
    <row r="20" spans="2:13" ht="18">
      <c r="B20" s="29">
        <f>C46+1</f>
        <v>1</v>
      </c>
      <c r="C20" s="87" t="s">
        <v>180</v>
      </c>
      <c r="D20" s="90">
        <f>'Inputs Page'!F20</f>
        <v>0</v>
      </c>
      <c r="E20" s="91"/>
      <c r="F20" s="91">
        <f>D20</f>
        <v>0</v>
      </c>
      <c r="G20" s="91">
        <f>B20*F20</f>
        <v>0</v>
      </c>
      <c r="I20" s="74" t="s">
        <v>73</v>
      </c>
      <c r="J20" s="73">
        <f>B20</f>
        <v>1</v>
      </c>
      <c r="K20" s="68"/>
      <c r="L20" s="1"/>
      <c r="M20" s="84"/>
    </row>
    <row r="21" spans="2:13" ht="18">
      <c r="B21" s="29">
        <f>'Inputs Page'!D10</f>
        <v>0</v>
      </c>
      <c r="C21" s="29" t="s">
        <v>135</v>
      </c>
      <c r="D21" s="91">
        <f>'Inputs Page'!F21</f>
        <v>0</v>
      </c>
      <c r="E21" s="91"/>
      <c r="F21" s="91">
        <f>D21</f>
        <v>0</v>
      </c>
      <c r="G21" s="91">
        <f>B21*F21</f>
        <v>0</v>
      </c>
      <c r="I21" s="29" t="s">
        <v>134</v>
      </c>
      <c r="J21" s="29">
        <f>B21</f>
        <v>0</v>
      </c>
      <c r="K21" s="68"/>
      <c r="L21" s="1"/>
      <c r="M21" s="84"/>
    </row>
    <row r="22" spans="2:13" ht="18">
      <c r="B22" s="29">
        <f>'Inputs Page'!D14</f>
        <v>0</v>
      </c>
      <c r="C22" s="29" t="s">
        <v>139</v>
      </c>
      <c r="D22" s="91">
        <f>'Inputs Page'!F22</f>
        <v>0</v>
      </c>
      <c r="E22" s="91"/>
      <c r="F22" s="91">
        <f>D22</f>
        <v>0</v>
      </c>
      <c r="G22" s="91">
        <f>B22*F22</f>
        <v>0</v>
      </c>
      <c r="I22" s="29" t="s">
        <v>138</v>
      </c>
      <c r="J22" s="29">
        <f>B22</f>
        <v>0</v>
      </c>
      <c r="K22" s="68"/>
      <c r="L22" s="1"/>
      <c r="M22" s="84"/>
    </row>
    <row r="23" spans="2:13" ht="18">
      <c r="B23" s="9"/>
      <c r="C23" s="9"/>
      <c r="D23" s="9"/>
      <c r="I23" s="73" t="s">
        <v>95</v>
      </c>
      <c r="J23" s="89">
        <f>SUM(G20:G22)</f>
        <v>0</v>
      </c>
      <c r="L23" s="1"/>
    </row>
    <row r="24" spans="2:13" ht="18">
      <c r="D24" s="68"/>
      <c r="E24" s="9"/>
      <c r="F24" s="88"/>
      <c r="G24" s="88"/>
      <c r="H24" s="88"/>
      <c r="I24" s="88"/>
      <c r="L24" s="1"/>
    </row>
    <row r="25" spans="2:13" ht="18">
      <c r="D25" s="68"/>
      <c r="E25" s="9"/>
      <c r="F25" s="88"/>
      <c r="G25" s="88"/>
      <c r="H25" s="88"/>
      <c r="I25" s="88"/>
      <c r="L25" s="1"/>
    </row>
    <row r="26" spans="2:13" ht="18">
      <c r="D26" s="68"/>
      <c r="E26" s="9"/>
      <c r="F26" s="88"/>
      <c r="G26" s="88"/>
      <c r="H26" s="88"/>
      <c r="I26" s="88"/>
      <c r="L26" s="1"/>
    </row>
    <row r="27" spans="2:13" ht="21">
      <c r="B27" s="46"/>
    </row>
    <row r="28" spans="2:13" ht="21">
      <c r="B28" s="47" t="s">
        <v>200</v>
      </c>
    </row>
    <row r="29" spans="2:13" ht="21">
      <c r="B29" s="47" t="s">
        <v>201</v>
      </c>
    </row>
    <row r="30" spans="2:13" ht="21">
      <c r="B30" s="47"/>
    </row>
    <row r="31" spans="2:13" ht="21">
      <c r="B31" s="47" t="s">
        <v>202</v>
      </c>
    </row>
    <row r="32" spans="2:13" ht="21">
      <c r="B32" s="48" t="s">
        <v>203</v>
      </c>
    </row>
    <row r="33" spans="2:8" ht="21">
      <c r="B33" s="49" t="s">
        <v>204</v>
      </c>
    </row>
    <row r="34" spans="2:8" ht="21">
      <c r="B34" s="49" t="s">
        <v>205</v>
      </c>
    </row>
    <row r="35" spans="2:8" ht="21">
      <c r="B35" s="47" t="s">
        <v>206</v>
      </c>
    </row>
    <row r="36" spans="2:8" ht="21">
      <c r="B36" s="47"/>
    </row>
    <row r="37" spans="2:8" ht="21">
      <c r="B37" s="47" t="s">
        <v>69</v>
      </c>
    </row>
    <row r="38" spans="2:8" ht="21">
      <c r="B38" s="47" t="s">
        <v>207</v>
      </c>
    </row>
    <row r="39" spans="2:8">
      <c r="B39" s="68"/>
      <c r="C39" s="68"/>
      <c r="D39" s="68"/>
      <c r="E39" s="68"/>
      <c r="F39" s="68"/>
      <c r="G39" s="68"/>
    </row>
    <row r="40" spans="2:8">
      <c r="B40" s="69"/>
      <c r="C40" s="70"/>
      <c r="D40" s="70"/>
      <c r="E40" s="68"/>
      <c r="F40" s="68"/>
    </row>
    <row r="41" spans="2:8">
      <c r="B41" s="70"/>
      <c r="C41" s="69"/>
      <c r="D41" s="69"/>
      <c r="E41" s="70"/>
      <c r="F41" s="70"/>
    </row>
    <row r="42" spans="2:8" ht="37.5" customHeight="1">
      <c r="B42" s="122" t="s">
        <v>184</v>
      </c>
      <c r="C42" s="122"/>
      <c r="D42" s="69"/>
      <c r="E42" s="69"/>
      <c r="F42" s="69"/>
    </row>
    <row r="43" spans="2:8">
      <c r="B43" s="50"/>
      <c r="C43" s="50" t="s">
        <v>161</v>
      </c>
      <c r="D43" s="68"/>
      <c r="E43" s="69"/>
      <c r="F43" s="69"/>
    </row>
    <row r="44" spans="2:8">
      <c r="B44" s="50" t="s">
        <v>160</v>
      </c>
      <c r="C44" s="50">
        <f>ROUNDUP((Worksheet!E27/480),0)</f>
        <v>0</v>
      </c>
      <c r="E44" s="68"/>
      <c r="F44" s="68"/>
    </row>
    <row r="45" spans="2:8" ht="15.6">
      <c r="B45" s="50" t="s">
        <v>71</v>
      </c>
      <c r="C45" s="50">
        <f>ROUNDUP((Worksheet!E27/960),0)</f>
        <v>0</v>
      </c>
      <c r="D45" s="110"/>
      <c r="E45" s="110"/>
      <c r="F45" s="110"/>
      <c r="G45" s="110"/>
      <c r="H45" s="110"/>
    </row>
    <row r="46" spans="2:8">
      <c r="B46" s="50" t="s">
        <v>180</v>
      </c>
      <c r="C46" s="50">
        <f>ROUNDUP((Worksheet!E27/240),0)</f>
        <v>0</v>
      </c>
    </row>
    <row r="132" spans="4:5">
      <c r="D132" s="36" t="s">
        <v>111</v>
      </c>
    </row>
    <row r="133" spans="4:5">
      <c r="D133" s="36">
        <v>12</v>
      </c>
      <c r="E133" s="36" t="s">
        <v>112</v>
      </c>
    </row>
    <row r="134" spans="4:5">
      <c r="D134" s="36">
        <v>8</v>
      </c>
      <c r="E134" s="36">
        <v>24</v>
      </c>
    </row>
    <row r="135" spans="4:5">
      <c r="E135" s="36">
        <v>16</v>
      </c>
    </row>
  </sheetData>
  <mergeCells count="1">
    <mergeCell ref="B42:C42"/>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8"/>
  <sheetViews>
    <sheetView zoomScale="80" zoomScaleNormal="80" zoomScalePageLayoutView="80" workbookViewId="0">
      <selection activeCell="B32" sqref="B32"/>
    </sheetView>
  </sheetViews>
  <sheetFormatPr defaultColWidth="8.88671875" defaultRowHeight="14.4"/>
  <cols>
    <col min="2" max="2" width="37.44140625" customWidth="1"/>
    <col min="3" max="3" width="28.6640625" customWidth="1"/>
    <col min="4" max="4" width="18.33203125" customWidth="1"/>
    <col min="5" max="5" width="12.88671875" customWidth="1"/>
    <col min="6" max="6" width="10.6640625" customWidth="1"/>
    <col min="7" max="7" width="13.6640625" customWidth="1"/>
    <col min="8" max="8" width="10.6640625" customWidth="1"/>
    <col min="9" max="9" width="13.33203125" customWidth="1"/>
    <col min="10" max="10" width="20.6640625" customWidth="1"/>
    <col min="11" max="11" width="19.88671875" customWidth="1"/>
  </cols>
  <sheetData>
    <row r="2" spans="2:12" ht="21" customHeight="1">
      <c r="B2" s="123" t="s">
        <v>173</v>
      </c>
      <c r="C2" s="123"/>
      <c r="D2" s="123"/>
      <c r="E2" s="123"/>
      <c r="F2" s="123"/>
      <c r="G2" s="123"/>
      <c r="H2" s="123"/>
      <c r="I2" s="123"/>
      <c r="J2" s="123"/>
      <c r="K2" s="106"/>
      <c r="L2" s="106"/>
    </row>
    <row r="3" spans="2:12" ht="21" customHeight="1">
      <c r="B3" s="123"/>
      <c r="C3" s="123"/>
      <c r="D3" s="123"/>
      <c r="E3" s="123"/>
      <c r="F3" s="123"/>
      <c r="G3" s="123"/>
      <c r="H3" s="123"/>
      <c r="I3" s="123"/>
      <c r="J3" s="123"/>
      <c r="K3" s="106"/>
      <c r="L3" s="106"/>
    </row>
    <row r="4" spans="2:12">
      <c r="B4" s="123"/>
      <c r="C4" s="123"/>
      <c r="D4" s="123"/>
      <c r="E4" s="123"/>
      <c r="F4" s="123"/>
      <c r="G4" s="123"/>
      <c r="H4" s="123"/>
      <c r="I4" s="123"/>
      <c r="J4" s="123"/>
      <c r="K4" s="106"/>
      <c r="L4" s="106"/>
    </row>
    <row r="5" spans="2:12" ht="15" customHeight="1">
      <c r="B5" s="123"/>
      <c r="C5" s="123"/>
      <c r="D5" s="123"/>
      <c r="E5" s="123"/>
      <c r="F5" s="123"/>
      <c r="G5" s="123"/>
      <c r="H5" s="123"/>
      <c r="I5" s="123"/>
      <c r="J5" s="123"/>
      <c r="K5" s="51"/>
    </row>
    <row r="7" spans="2:12" ht="11.25" customHeight="1"/>
    <row r="8" spans="2:12" ht="45" customHeight="1">
      <c r="B8" s="52" t="s">
        <v>88</v>
      </c>
      <c r="C8" s="52" t="s">
        <v>84</v>
      </c>
      <c r="D8" s="52" t="s">
        <v>86</v>
      </c>
      <c r="E8" s="127" t="s">
        <v>87</v>
      </c>
      <c r="F8" s="128"/>
      <c r="G8" s="127" t="s">
        <v>127</v>
      </c>
      <c r="H8" s="128"/>
      <c r="I8" s="127" t="s">
        <v>169</v>
      </c>
      <c r="J8" s="128"/>
    </row>
    <row r="9" spans="2:12" ht="18" customHeight="1">
      <c r="B9" s="53" t="s">
        <v>126</v>
      </c>
      <c r="C9" s="54"/>
      <c r="D9" s="96" t="s">
        <v>159</v>
      </c>
      <c r="E9" s="55" t="s">
        <v>159</v>
      </c>
      <c r="F9" s="55" t="s">
        <v>85</v>
      </c>
      <c r="G9" s="55" t="s">
        <v>159</v>
      </c>
      <c r="H9" s="55" t="s">
        <v>85</v>
      </c>
      <c r="I9" s="55" t="s">
        <v>159</v>
      </c>
      <c r="J9" s="55" t="s">
        <v>85</v>
      </c>
    </row>
    <row r="10" spans="2:12" ht="15.75" customHeight="1">
      <c r="B10" s="50" t="s">
        <v>106</v>
      </c>
      <c r="C10" s="50" t="str">
        <f>('Inputs Page'!E18)</f>
        <v>SY-014-4.0-MSAM9</v>
      </c>
      <c r="D10" s="67">
        <v>480</v>
      </c>
      <c r="E10" s="105" t="s">
        <v>122</v>
      </c>
      <c r="F10" s="105" t="s">
        <v>123</v>
      </c>
      <c r="G10" s="81">
        <v>480</v>
      </c>
      <c r="H10" s="82">
        <f>(D10-G10)/D10</f>
        <v>0</v>
      </c>
      <c r="I10" s="81">
        <v>480</v>
      </c>
      <c r="J10" s="82">
        <f>(D10-I10)/D10</f>
        <v>0</v>
      </c>
    </row>
    <row r="11" spans="2:12" ht="15.75" customHeight="1">
      <c r="B11" s="76" t="s">
        <v>107</v>
      </c>
      <c r="C11" s="76" t="str">
        <f>('Inputs Page'!E19)</f>
        <v>SY-014-4.0-MSAL9</v>
      </c>
      <c r="D11" s="77">
        <v>960</v>
      </c>
      <c r="E11" s="129" t="s">
        <v>120</v>
      </c>
      <c r="F11" s="130"/>
      <c r="G11" s="81">
        <v>960</v>
      </c>
      <c r="H11" s="82">
        <f>(D11-G11)/D11</f>
        <v>0</v>
      </c>
      <c r="I11" s="81">
        <v>960</v>
      </c>
      <c r="J11" s="82">
        <f>(D11-I11)/D11</f>
        <v>0</v>
      </c>
    </row>
    <row r="12" spans="2:12" ht="15.75" customHeight="1">
      <c r="B12" s="101" t="s">
        <v>89</v>
      </c>
      <c r="C12" s="50" t="s">
        <v>91</v>
      </c>
      <c r="D12" s="95" t="s">
        <v>170</v>
      </c>
      <c r="E12" s="124" t="s">
        <v>90</v>
      </c>
      <c r="F12" s="125"/>
      <c r="G12" s="125"/>
      <c r="H12" s="125"/>
      <c r="I12" s="125"/>
      <c r="J12" s="126"/>
    </row>
    <row r="14" spans="2:12">
      <c r="B14" s="83" t="s">
        <v>121</v>
      </c>
    </row>
    <row r="18" spans="2:2" ht="21">
      <c r="B18" s="49" t="s">
        <v>172</v>
      </c>
    </row>
  </sheetData>
  <mergeCells count="6">
    <mergeCell ref="B2:J5"/>
    <mergeCell ref="E12:J12"/>
    <mergeCell ref="E8:F8"/>
    <mergeCell ref="G8:H8"/>
    <mergeCell ref="I8:J8"/>
    <mergeCell ref="E11:F11"/>
  </mergeCell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52" zoomScaleNormal="100" zoomScalePageLayoutView="140" workbookViewId="0"/>
  </sheetViews>
  <sheetFormatPr defaultColWidth="8.88671875" defaultRowHeight="14.4"/>
  <cols>
    <col min="1" max="1" width="59" customWidth="1"/>
  </cols>
  <sheetData>
    <row r="1" spans="1:9">
      <c r="C1" t="s">
        <v>26</v>
      </c>
      <c r="E1" t="s">
        <v>27</v>
      </c>
    </row>
    <row r="2" spans="1:9" ht="18">
      <c r="A2" s="1" t="s">
        <v>12</v>
      </c>
      <c r="B2">
        <f>'Inputs Page'!A9</f>
        <v>0</v>
      </c>
      <c r="C2">
        <v>1</v>
      </c>
      <c r="E2">
        <f>B2*C2</f>
        <v>0</v>
      </c>
    </row>
    <row r="3" spans="1:9" ht="18">
      <c r="A3" s="1" t="s">
        <v>194</v>
      </c>
      <c r="B3">
        <f>'Inputs Page'!A32</f>
        <v>0</v>
      </c>
      <c r="C3">
        <v>1.5</v>
      </c>
      <c r="E3">
        <f>B3*C3</f>
        <v>0</v>
      </c>
    </row>
    <row r="4" spans="1:9" ht="18">
      <c r="A4" s="1" t="s">
        <v>48</v>
      </c>
      <c r="B4">
        <f>'Inputs Page'!A33</f>
        <v>0</v>
      </c>
    </row>
    <row r="5" spans="1:9" ht="18">
      <c r="A5" s="1" t="s">
        <v>59</v>
      </c>
      <c r="B5">
        <f>IF((B4&gt;B2),B2,B4)</f>
        <v>0</v>
      </c>
      <c r="C5">
        <f>B62</f>
        <v>3</v>
      </c>
      <c r="E5">
        <f>ROUNDUP((B5*C5),0)</f>
        <v>0</v>
      </c>
    </row>
    <row r="6" spans="1:9" ht="18">
      <c r="A6" s="1" t="s">
        <v>54</v>
      </c>
      <c r="B6">
        <f>'Inputs Page'!A34</f>
        <v>0</v>
      </c>
    </row>
    <row r="7" spans="1:9" ht="18">
      <c r="A7" s="1" t="s">
        <v>55</v>
      </c>
      <c r="B7">
        <f>'Inputs Page'!A35</f>
        <v>0</v>
      </c>
    </row>
    <row r="8" spans="1:9" ht="18">
      <c r="A8" s="1" t="s">
        <v>28</v>
      </c>
      <c r="B8">
        <f>SUM('Inputs Page'!A17:A18)</f>
        <v>0</v>
      </c>
    </row>
    <row r="9" spans="1:9" ht="18">
      <c r="A9" s="1" t="s">
        <v>0</v>
      </c>
      <c r="B9">
        <f>SUM('Inputs Page'!A19:A21)+'Inputs Page'!A24</f>
        <v>0</v>
      </c>
    </row>
    <row r="10" spans="1:9" ht="18">
      <c r="A10" s="1" t="s">
        <v>1</v>
      </c>
      <c r="B10">
        <f>'Inputs Page'!A22</f>
        <v>0</v>
      </c>
      <c r="C10">
        <v>1</v>
      </c>
      <c r="E10">
        <f>B10*C10</f>
        <v>0</v>
      </c>
    </row>
    <row r="11" spans="1:9" ht="18">
      <c r="A11" s="1" t="s">
        <v>142</v>
      </c>
      <c r="B11">
        <f>'Inputs Page'!A25</f>
        <v>0</v>
      </c>
      <c r="C11">
        <v>0</v>
      </c>
      <c r="D11">
        <f>IF((B11&gt;B2),B2,B11)</f>
        <v>0</v>
      </c>
      <c r="E11">
        <f>D11*C11</f>
        <v>0</v>
      </c>
    </row>
    <row r="12" spans="1:9" ht="18">
      <c r="A12" s="1" t="s">
        <v>146</v>
      </c>
      <c r="B12">
        <f>'Inputs Page'!A9-'Inputs Page'!A25</f>
        <v>0</v>
      </c>
    </row>
    <row r="13" spans="1:9" ht="18">
      <c r="A13" s="1" t="s">
        <v>81</v>
      </c>
      <c r="B13">
        <f>ROUNDUP(('Inputs Page'!A25*'Inputs Page'!A39),0)</f>
        <v>0</v>
      </c>
      <c r="C13" s="38"/>
      <c r="E13">
        <f>C33</f>
        <v>0</v>
      </c>
      <c r="I13" t="s">
        <v>145</v>
      </c>
    </row>
    <row r="14" spans="1:9" ht="18">
      <c r="A14" s="1" t="s">
        <v>3</v>
      </c>
      <c r="B14">
        <f>'Inputs Page'!A11</f>
        <v>0</v>
      </c>
      <c r="C14">
        <v>1</v>
      </c>
      <c r="E14">
        <f>B14*C14</f>
        <v>0</v>
      </c>
    </row>
    <row r="15" spans="1:9" ht="18">
      <c r="A15" s="1" t="s">
        <v>4</v>
      </c>
      <c r="B15">
        <f>'Inputs Page'!A12</f>
        <v>0</v>
      </c>
      <c r="C15">
        <v>1</v>
      </c>
      <c r="E15">
        <v>0</v>
      </c>
      <c r="I15" t="s">
        <v>80</v>
      </c>
    </row>
    <row r="16" spans="1:9" ht="18">
      <c r="A16" s="1" t="s">
        <v>5</v>
      </c>
      <c r="B16">
        <f>'Inputs Page'!A27</f>
        <v>0</v>
      </c>
      <c r="C16">
        <v>1</v>
      </c>
      <c r="E16">
        <f>B16*C16</f>
        <v>0</v>
      </c>
    </row>
    <row r="17" spans="1:9" ht="18">
      <c r="A17" s="1" t="s">
        <v>113</v>
      </c>
      <c r="B17">
        <f>'Inputs Page'!A36</f>
        <v>0</v>
      </c>
      <c r="C17">
        <v>1</v>
      </c>
      <c r="E17">
        <f>B17*C17</f>
        <v>0</v>
      </c>
    </row>
    <row r="18" spans="1:9" ht="18">
      <c r="A18" s="1" t="s">
        <v>187</v>
      </c>
      <c r="B18">
        <f>B11+B17</f>
        <v>0</v>
      </c>
      <c r="D18">
        <f>IF(('Inputs Page'!A28="yes"),D11,0)</f>
        <v>0</v>
      </c>
    </row>
    <row r="19" spans="1:9" ht="18">
      <c r="A19" s="1" t="s">
        <v>65</v>
      </c>
      <c r="B19" s="27">
        <f>'Inputs Page'!A44</f>
        <v>0</v>
      </c>
      <c r="C19">
        <v>0.5</v>
      </c>
      <c r="D19" s="28">
        <f>B2</f>
        <v>0</v>
      </c>
      <c r="E19">
        <f>(ROUNDUP((B19*D19),0))</f>
        <v>0</v>
      </c>
      <c r="F19">
        <f>IF(B19=100%, 0,E19)</f>
        <v>0</v>
      </c>
    </row>
    <row r="20" spans="1:9" ht="18">
      <c r="A20" s="1" t="s">
        <v>66</v>
      </c>
      <c r="B20" s="27">
        <f>'Inputs Page'!A45</f>
        <v>0</v>
      </c>
      <c r="C20">
        <v>0.5</v>
      </c>
      <c r="D20" s="28">
        <f>+((Worksheet!B9*'Inputs Page'!A39)+(Worksheet!B8*'Inputs Page'!A40))</f>
        <v>0</v>
      </c>
      <c r="E20">
        <f>(ROUNDUP((B20*D20),0))</f>
        <v>0</v>
      </c>
    </row>
    <row r="21" spans="1:9" ht="18">
      <c r="A21" s="1" t="s">
        <v>25</v>
      </c>
      <c r="B21" s="26">
        <f>'Inputs Page'!A41</f>
        <v>0</v>
      </c>
      <c r="C21">
        <v>0.5</v>
      </c>
      <c r="D21">
        <f>B2</f>
        <v>0</v>
      </c>
      <c r="E21">
        <f>(ROUNDUP((B21*D21),0))</f>
        <v>0</v>
      </c>
      <c r="F21">
        <f t="shared" ref="F21:F22" si="0">IF(B21=100%, 0,E21)</f>
        <v>0</v>
      </c>
    </row>
    <row r="22" spans="1:9" ht="18">
      <c r="A22" s="1" t="s">
        <v>2</v>
      </c>
      <c r="B22" s="26">
        <f>'Inputs Page'!A42</f>
        <v>0</v>
      </c>
      <c r="C22">
        <v>0.5</v>
      </c>
      <c r="D22">
        <f>(Worksheet!B9*'Inputs Page'!A39)+(Worksheet!B8*'Inputs Page'!A40)</f>
        <v>0</v>
      </c>
      <c r="E22">
        <f>(ROUNDUP((B22*D22),0))</f>
        <v>0</v>
      </c>
      <c r="F22">
        <f t="shared" si="0"/>
        <v>0</v>
      </c>
      <c r="G22">
        <f>IF((F22-E13)&gt;0,(F22-E13),0)</f>
        <v>0</v>
      </c>
    </row>
    <row r="23" spans="1:9" ht="18">
      <c r="A23" s="1" t="s">
        <v>45</v>
      </c>
      <c r="B23" s="26"/>
      <c r="C23">
        <v>1</v>
      </c>
      <c r="E23">
        <f>C53*C23</f>
        <v>0</v>
      </c>
      <c r="I23" t="s">
        <v>144</v>
      </c>
    </row>
    <row r="24" spans="1:9" ht="18">
      <c r="A24" s="1" t="s">
        <v>46</v>
      </c>
      <c r="B24" s="26"/>
      <c r="E24">
        <f>C54</f>
        <v>0</v>
      </c>
    </row>
    <row r="25" spans="1:9" ht="18">
      <c r="A25" s="1" t="s">
        <v>29</v>
      </c>
      <c r="E25">
        <f>SUM(E2:E17)+SUM(E23:E24)+C44+D18</f>
        <v>0</v>
      </c>
    </row>
    <row r="26" spans="1:9" ht="18">
      <c r="A26" s="1" t="s">
        <v>21</v>
      </c>
      <c r="B26" s="26">
        <f>'Inputs Page'!A43</f>
        <v>0.05</v>
      </c>
      <c r="C26">
        <v>1</v>
      </c>
      <c r="D26">
        <f>E25</f>
        <v>0</v>
      </c>
      <c r="E26">
        <f>ROUNDUP((B26*D26), 0)</f>
        <v>0</v>
      </c>
    </row>
    <row r="27" spans="1:9" ht="18">
      <c r="A27" s="1" t="s">
        <v>58</v>
      </c>
      <c r="E27">
        <f>ROUNDUP((E25+E26),0)</f>
        <v>0</v>
      </c>
    </row>
    <row r="28" spans="1:9" ht="18">
      <c r="A28" s="1"/>
    </row>
    <row r="30" spans="1:9" ht="18">
      <c r="A30" s="1" t="s">
        <v>37</v>
      </c>
      <c r="B30" s="26">
        <f>IF((B22&gt;B21),B22,B21)</f>
        <v>0</v>
      </c>
      <c r="C30">
        <f>(B13*B30)*0.5</f>
        <v>0</v>
      </c>
    </row>
    <row r="31" spans="1:9" ht="18">
      <c r="A31" s="1" t="s">
        <v>38</v>
      </c>
      <c r="B31" s="26">
        <f>IF((B20&gt;B19),B20,B19)</f>
        <v>0</v>
      </c>
      <c r="C31">
        <f>(B13*B31)*0.5</f>
        <v>0</v>
      </c>
    </row>
    <row r="32" spans="1:9" ht="18">
      <c r="A32" s="1" t="s">
        <v>47</v>
      </c>
      <c r="C32">
        <f>ROUNDUP((SUM(C30:C31)),0)</f>
        <v>0</v>
      </c>
    </row>
    <row r="33" spans="1:3" ht="18">
      <c r="A33" s="1" t="s">
        <v>60</v>
      </c>
      <c r="C33">
        <f>IF((C32&gt;B2), B2,C32)</f>
        <v>0</v>
      </c>
    </row>
    <row r="34" spans="1:3" ht="18">
      <c r="A34" s="1"/>
    </row>
    <row r="35" spans="1:3" ht="18">
      <c r="A35" s="1"/>
    </row>
    <row r="36" spans="1:3" ht="18">
      <c r="A36" s="1" t="s">
        <v>147</v>
      </c>
      <c r="C36">
        <f>B12*B21</f>
        <v>0</v>
      </c>
    </row>
    <row r="37" spans="1:3" ht="18">
      <c r="A37" s="1" t="s">
        <v>150</v>
      </c>
      <c r="C37">
        <f>B12*B19</f>
        <v>0</v>
      </c>
    </row>
    <row r="38" spans="1:3" ht="18">
      <c r="A38" s="1" t="s">
        <v>149</v>
      </c>
      <c r="C38">
        <f>((B49-B11)*B22)</f>
        <v>0</v>
      </c>
    </row>
    <row r="39" spans="1:3" ht="18">
      <c r="A39" s="1" t="s">
        <v>148</v>
      </c>
      <c r="C39">
        <f>(B49-B11)*B20</f>
        <v>0</v>
      </c>
    </row>
    <row r="40" spans="1:3" ht="18">
      <c r="A40" s="1" t="s">
        <v>154</v>
      </c>
      <c r="C40">
        <f>C36+C38</f>
        <v>0</v>
      </c>
    </row>
    <row r="41" spans="1:3" ht="18">
      <c r="A41" s="1" t="s">
        <v>152</v>
      </c>
      <c r="C41">
        <f>IF((C36-C38)=0,0,C40)</f>
        <v>0</v>
      </c>
    </row>
    <row r="42" spans="1:3" ht="18">
      <c r="A42" s="1" t="s">
        <v>153</v>
      </c>
      <c r="C42">
        <f>C37+C39</f>
        <v>0</v>
      </c>
    </row>
    <row r="43" spans="1:3" ht="18">
      <c r="A43" s="1" t="s">
        <v>152</v>
      </c>
      <c r="C43">
        <f>IF((C37-C39)=0,0,C42)</f>
        <v>0</v>
      </c>
    </row>
    <row r="44" spans="1:3" ht="18">
      <c r="A44" s="1" t="s">
        <v>151</v>
      </c>
      <c r="C44">
        <f>ROUNDUP((SUM(C36+C37)*0.5),0)</f>
        <v>0</v>
      </c>
    </row>
    <row r="45" spans="1:3" ht="18">
      <c r="A45" s="1"/>
    </row>
    <row r="47" spans="1:3" ht="18">
      <c r="A47" s="1" t="s">
        <v>40</v>
      </c>
      <c r="B47">
        <f>(SUM('Inputs Page'!A17:A18)*'Inputs Page'!A40)</f>
        <v>0</v>
      </c>
    </row>
    <row r="48" spans="1:3" ht="18">
      <c r="A48" s="1" t="s">
        <v>41</v>
      </c>
      <c r="B48">
        <f>B9*'Inputs Page'!A39</f>
        <v>0</v>
      </c>
    </row>
    <row r="49" spans="1:4" ht="18">
      <c r="A49" s="1" t="s">
        <v>141</v>
      </c>
      <c r="B49">
        <f>ROUNDUP((SUM(B47:B48)),0)</f>
        <v>0</v>
      </c>
    </row>
    <row r="50" spans="1:4" ht="18">
      <c r="A50" s="1"/>
    </row>
    <row r="51" spans="1:4" ht="18">
      <c r="A51" s="1" t="s">
        <v>42</v>
      </c>
      <c r="B51">
        <f>B2</f>
        <v>0</v>
      </c>
    </row>
    <row r="52" spans="1:4" ht="18">
      <c r="A52" s="1" t="s">
        <v>39</v>
      </c>
      <c r="B52">
        <f>IF((B51-B49)&gt;0,((B51-B49)),0)</f>
        <v>0</v>
      </c>
    </row>
    <row r="53" spans="1:4" ht="18">
      <c r="A53" s="1" t="s">
        <v>43</v>
      </c>
      <c r="B53">
        <f>ROUNDUP((B52*B21),0)</f>
        <v>0</v>
      </c>
      <c r="C53">
        <f>ROUND((B53*0.05),0)</f>
        <v>0</v>
      </c>
      <c r="D53" t="s">
        <v>143</v>
      </c>
    </row>
    <row r="54" spans="1:4" ht="18">
      <c r="A54" s="1" t="s">
        <v>44</v>
      </c>
      <c r="B54">
        <f>ROUNDUP((B52*B19),0)</f>
        <v>0</v>
      </c>
      <c r="C54">
        <f>B54*0.05</f>
        <v>0</v>
      </c>
      <c r="D54" t="s">
        <v>72</v>
      </c>
    </row>
    <row r="55" spans="1:4" ht="18">
      <c r="A55" s="1"/>
    </row>
    <row r="57" spans="1:4">
      <c r="A57" t="s">
        <v>49</v>
      </c>
      <c r="B57">
        <f>SUM(B6+B7)</f>
        <v>0</v>
      </c>
    </row>
    <row r="58" spans="1:4">
      <c r="A58" s="39" t="s">
        <v>75</v>
      </c>
      <c r="B58">
        <f>IF((B57&lt;50),2,0)</f>
        <v>2</v>
      </c>
    </row>
    <row r="59" spans="1:4">
      <c r="A59" s="39" t="s">
        <v>76</v>
      </c>
      <c r="B59">
        <f>IF((B57&gt;49),3,0)</f>
        <v>0</v>
      </c>
    </row>
    <row r="60" spans="1:4">
      <c r="A60" t="s">
        <v>50</v>
      </c>
      <c r="B60">
        <f>IF((B57&gt;99),2,0)</f>
        <v>0</v>
      </c>
    </row>
    <row r="61" spans="1:4">
      <c r="A61" t="s">
        <v>51</v>
      </c>
      <c r="B61">
        <f>SUM(B58:B60)</f>
        <v>2</v>
      </c>
    </row>
    <row r="62" spans="1:4" ht="18">
      <c r="A62" s="1" t="s">
        <v>175</v>
      </c>
      <c r="B62">
        <f>B61*1.5</f>
        <v>3</v>
      </c>
    </row>
    <row r="64" spans="1:4" ht="18">
      <c r="A64" s="1" t="s">
        <v>130</v>
      </c>
    </row>
    <row r="65" spans="1:2" ht="18">
      <c r="A65" s="1" t="s">
        <v>131</v>
      </c>
      <c r="B65">
        <f>'Inputs Page'!A9</f>
        <v>0</v>
      </c>
    </row>
    <row r="66" spans="1:2" ht="18">
      <c r="A66" s="1" t="s">
        <v>132</v>
      </c>
      <c r="B66">
        <f>'Inputs Page'!A11</f>
        <v>0</v>
      </c>
    </row>
    <row r="67" spans="1:2" ht="18">
      <c r="A67" s="1" t="s">
        <v>133</v>
      </c>
      <c r="B67">
        <f>'Inputs Page'!A12</f>
        <v>0</v>
      </c>
    </row>
    <row r="68" spans="1:2" ht="18">
      <c r="A68" s="1" t="s">
        <v>134</v>
      </c>
      <c r="B68">
        <f>SUM(B65:B67)</f>
        <v>0</v>
      </c>
    </row>
    <row r="69" spans="1:2" ht="18">
      <c r="A69" s="1"/>
    </row>
    <row r="70" spans="1:2" ht="18">
      <c r="A70" s="1"/>
    </row>
    <row r="71" spans="1:2" ht="18">
      <c r="A71" s="1"/>
    </row>
    <row r="72" spans="1:2" ht="18">
      <c r="A72" s="1"/>
    </row>
    <row r="73" spans="1:2" ht="18">
      <c r="A73" s="1"/>
    </row>
    <row r="74" spans="1:2" ht="18">
      <c r="A74" s="1"/>
    </row>
    <row r="75" spans="1:2" ht="18">
      <c r="A75" s="1"/>
    </row>
    <row r="76" spans="1:2" ht="18">
      <c r="A76" s="1"/>
    </row>
    <row r="77" spans="1:2" ht="18">
      <c r="A77" s="1"/>
    </row>
    <row r="78" spans="1:2" ht="18">
      <c r="A78" s="1"/>
    </row>
    <row r="79" spans="1:2" ht="18">
      <c r="A79" s="1"/>
    </row>
    <row r="80" spans="1:2" ht="18">
      <c r="A80" s="1"/>
    </row>
    <row r="81" spans="1:1" ht="18">
      <c r="A81" s="1"/>
    </row>
  </sheetData>
  <pageMargins left="0.7" right="0.7" top="0.75" bottom="0.75" header="0.3" footer="0.3"/>
  <pageSetup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80" zoomScaleNormal="80" zoomScalePageLayoutView="80" workbookViewId="0">
      <selection activeCell="D16" sqref="D16"/>
    </sheetView>
  </sheetViews>
  <sheetFormatPr defaultColWidth="8.88671875" defaultRowHeight="14.4"/>
  <cols>
    <col min="1" max="1" width="13" style="113" customWidth="1"/>
    <col min="2" max="2" width="15.44140625" customWidth="1"/>
    <col min="3" max="3" width="14.109375" customWidth="1"/>
    <col min="4" max="4" width="176.88671875" customWidth="1"/>
  </cols>
  <sheetData>
    <row r="1" spans="1:5">
      <c r="A1" s="111" t="s">
        <v>99</v>
      </c>
      <c r="B1" s="71" t="s">
        <v>100</v>
      </c>
      <c r="C1" s="71" t="s">
        <v>33</v>
      </c>
      <c r="D1" s="71" t="s">
        <v>98</v>
      </c>
      <c r="E1" s="36"/>
    </row>
    <row r="2" spans="1:5" ht="28.8">
      <c r="A2" s="112">
        <v>41075</v>
      </c>
      <c r="B2" s="72" t="s">
        <v>101</v>
      </c>
      <c r="C2" s="63" t="s">
        <v>83</v>
      </c>
      <c r="D2" s="63" t="s">
        <v>97</v>
      </c>
    </row>
    <row r="3" spans="1:5">
      <c r="A3" s="112">
        <v>41086</v>
      </c>
      <c r="B3" s="72" t="s">
        <v>102</v>
      </c>
      <c r="C3" s="63" t="s">
        <v>83</v>
      </c>
      <c r="D3" s="63" t="s">
        <v>103</v>
      </c>
    </row>
    <row r="4" spans="1:5" ht="29.25" customHeight="1">
      <c r="A4" s="112">
        <v>41130</v>
      </c>
      <c r="B4" s="72" t="s">
        <v>105</v>
      </c>
      <c r="C4" s="63" t="s">
        <v>83</v>
      </c>
      <c r="D4" s="63" t="s">
        <v>104</v>
      </c>
    </row>
    <row r="5" spans="1:5">
      <c r="A5" s="112">
        <v>41282</v>
      </c>
      <c r="B5" s="72" t="s">
        <v>110</v>
      </c>
      <c r="C5" s="63" t="s">
        <v>83</v>
      </c>
      <c r="D5" s="63" t="s">
        <v>108</v>
      </c>
    </row>
    <row r="6" spans="1:5" ht="28.8">
      <c r="A6" s="112">
        <v>41305</v>
      </c>
      <c r="B6" s="72" t="s">
        <v>115</v>
      </c>
      <c r="C6" s="63" t="s">
        <v>83</v>
      </c>
      <c r="D6" s="63" t="s">
        <v>114</v>
      </c>
    </row>
    <row r="7" spans="1:5" ht="43.2">
      <c r="A7" s="112">
        <v>41369</v>
      </c>
      <c r="B7" s="72" t="s">
        <v>119</v>
      </c>
      <c r="C7" s="63" t="s">
        <v>83</v>
      </c>
      <c r="D7" s="63" t="s">
        <v>118</v>
      </c>
    </row>
    <row r="8" spans="1:5">
      <c r="A8" s="112">
        <v>41381</v>
      </c>
      <c r="B8" s="72" t="s">
        <v>128</v>
      </c>
      <c r="C8" s="63" t="s">
        <v>83</v>
      </c>
      <c r="D8" s="63" t="s">
        <v>124</v>
      </c>
    </row>
    <row r="9" spans="1:5" ht="30.75" customHeight="1">
      <c r="A9" s="112">
        <v>41596</v>
      </c>
      <c r="B9" s="72" t="s">
        <v>155</v>
      </c>
      <c r="C9" s="63" t="s">
        <v>156</v>
      </c>
      <c r="D9" s="63" t="s">
        <v>157</v>
      </c>
    </row>
    <row r="10" spans="1:5" ht="28.8">
      <c r="A10" s="112">
        <v>41628</v>
      </c>
      <c r="B10" s="72" t="s">
        <v>164</v>
      </c>
      <c r="C10" s="63" t="s">
        <v>156</v>
      </c>
      <c r="D10" s="63" t="s">
        <v>167</v>
      </c>
    </row>
    <row r="11" spans="1:5">
      <c r="A11" s="112">
        <v>41648</v>
      </c>
      <c r="B11" s="72" t="s">
        <v>165</v>
      </c>
      <c r="C11" s="63" t="s">
        <v>83</v>
      </c>
      <c r="D11" s="63" t="s">
        <v>166</v>
      </c>
    </row>
    <row r="12" spans="1:5">
      <c r="A12" s="112">
        <v>41730</v>
      </c>
      <c r="B12" s="72" t="s">
        <v>168</v>
      </c>
      <c r="C12" s="63" t="s">
        <v>83</v>
      </c>
      <c r="D12" s="63" t="s">
        <v>171</v>
      </c>
    </row>
    <row r="13" spans="1:5">
      <c r="A13" s="112">
        <v>42619</v>
      </c>
      <c r="B13" s="72" t="s">
        <v>186</v>
      </c>
      <c r="C13" s="63" t="s">
        <v>174</v>
      </c>
      <c r="D13" s="63" t="s">
        <v>185</v>
      </c>
    </row>
    <row r="14" spans="1:5">
      <c r="A14" s="112">
        <v>42676</v>
      </c>
      <c r="B14" s="72" t="s">
        <v>192</v>
      </c>
      <c r="C14" s="63" t="s">
        <v>174</v>
      </c>
      <c r="D14" s="63" t="s">
        <v>188</v>
      </c>
    </row>
    <row r="15" spans="1:5">
      <c r="A15" s="114">
        <v>42851</v>
      </c>
      <c r="B15" s="115" t="s">
        <v>196</v>
      </c>
      <c r="C15" s="116" t="s">
        <v>174</v>
      </c>
      <c r="D15" s="116" t="s">
        <v>193</v>
      </c>
    </row>
    <row r="16" spans="1:5">
      <c r="A16" s="114">
        <v>43161</v>
      </c>
      <c r="B16" s="115" t="s">
        <v>197</v>
      </c>
      <c r="C16" s="116" t="s">
        <v>195</v>
      </c>
      <c r="D16" s="116" t="s">
        <v>198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0BCB99D04F1B4B83D2A60A1D5B0C7C" ma:contentTypeVersion="1" ma:contentTypeDescription="Create a new document." ma:contentTypeScope="" ma:versionID="e7359ee58ce710fcfc27871c6e764239">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E7E7BD-914C-4A09-9BE7-CDE6ACAAD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5469AA-29BD-4B7A-84F8-17101EA52F01}">
  <ds:schemaRefs>
    <ds:schemaRef ds:uri="http://purl.org/dc/elements/1.1/"/>
    <ds:schemaRef ds:uri="http://purl.org/dc/term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D51A9A6-6FA0-45CC-A1B0-368696DA1E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Inputs Page</vt:lpstr>
      <vt:lpstr>Media Server Quick Quote</vt:lpstr>
      <vt:lpstr>AV Impact</vt:lpstr>
      <vt:lpstr>Worksheet</vt:lpstr>
      <vt:lpstr>Change Log</vt:lpstr>
      <vt:lpstr>Rev_1Apr2014</vt:lpstr>
    </vt:vector>
  </TitlesOfParts>
  <Company>Genesys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Genesys PureConnect Media Server Estimation Spreadsheet</dc:title>
  <dc:subject>Media Server Sizing Estimation</dc:subject>
  <dc:creator>Mike Rice</dc:creator>
  <cp:lastModifiedBy>Michael Rice</cp:lastModifiedBy>
  <cp:lastPrinted>2012-11-16T14:35:35Z</cp:lastPrinted>
  <dcterms:created xsi:type="dcterms:W3CDTF">2011-10-19T17:04:11Z</dcterms:created>
  <dcterms:modified xsi:type="dcterms:W3CDTF">2018-03-02T20:15:54Z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0x010100DB0BCB99D04F1B4B83D2A60A1D5B0C7C</vt:lpwstr>
  </property>
</Properties>
</file>